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cio" sheetId="1" state="visible" r:id="rId3"/>
    <sheet name="Ajustes" sheetId="2" state="visible" r:id="rId4"/>
    <sheet name="Lista_control" sheetId="3" state="visible" r:id="rId5"/>
    <sheet name="Puntuaciones" sheetId="4" state="visible" r:id="rId6"/>
    <sheet name="Dashboard" sheetId="5" state="visible" r:id="rId7"/>
    <sheet name="Plan_accion" sheetId="6" state="visible" r:id="rId8"/>
    <sheet name="Tarjetas_rojas" sheetId="7" state="visible" r:id="rId9"/>
    <sheet name="Calendario_auditorias" sheetId="8" state="visible" r:id="rId10"/>
    <sheet name="Despliegue_90_dias" sheetId="9" state="visible" r:id="rId11"/>
    <sheet name="Calculos" sheetId="10" state="visible" r:id="rId12"/>
  </sheets>
  <definedNames>
    <definedName function="false" hidden="false" localSheetId="4" name="_xlnm.Print_Area" vbProcedure="false">Dashboard!$A$1:$O$56</definedName>
    <definedName function="false" hidden="false" localSheetId="8" name="_xlnm.Print_Titles" vbProcedure="false">Despliegue_90_dias!$10:$10</definedName>
    <definedName function="false" hidden="false" localSheetId="2" name="_xlnm.Print_Titles" vbProcedure="false">Lista_control!$12:$12</definedName>
    <definedName function="false" hidden="false" localSheetId="5" name="_xlnm.Print_Titles" vbProcedure="false">Plan_accion!$9:$9</definedName>
    <definedName function="false" hidden="true" localSheetId="5" name="_xlnm._FilterDatabase" vbProcedure="false">Plan_accion!$A$9:$O$309</definedName>
    <definedName function="false" hidden="false" localSheetId="3" name="_xlnm.Print_Area" vbProcedure="false">Puntuaciones!$A$1:$N$63</definedName>
    <definedName function="false" hidden="false" localSheetId="3" name="_xlnm.Print_Titles" vbProcedure="false">Puntuaciones!$3:$6</definedName>
    <definedName function="false" hidden="false" localSheetId="6" name="_xlnm.Print_Titles" vbProcedure="false">Tarjetas_rojas!$9:$9</definedName>
    <definedName function="false" hidden="true" localSheetId="6" name="_xlnm._FilterDatabase" vbProcedure="false">Tarjetas_rojas!$A$9:$N$209</definedName>
    <definedName function="false" hidden="false" name="Año" vbProcedure="false">Ajustes!$C$5</definedName>
    <definedName function="false" hidden="false" name="Empresa" vbProcedure="false">Ajustes!$C$4</definedName>
    <definedName function="false" hidden="false" name="Lista_audytorow" vbProcedure="false">OFFSET(Ajustes!$C$10,0,0,MAX(1,COUNTA(Ajustes!$C$10:$C$19)),1)</definedName>
    <definedName function="false" hidden="false" name="Lista_decyzja" vbProcedure="false">Ajustes!$I$10:$I$14</definedName>
    <definedName function="false" hidden="false" name="Lista_obszarow" vbProcedure="false">OFFSET(Ajustes!$A$10,0,0,MAX(1,COUNTA(Ajustes!$A$10:$A$24)),1)</definedName>
    <definedName function="false" hidden="false" name="Lista_powod" vbProcedure="false">Ajustes!$H$10:$H$15</definedName>
    <definedName function="false" hidden="false" name="Lista_priorytet" vbProcedure="false">Ajustes!$F$10:$F$12</definedName>
    <definedName function="false" hidden="false" name="Lista_S" vbProcedure="false">Ajustes!$L$10:$L$14</definedName>
    <definedName function="false" hidden="false" name="Lista_statusow" vbProcedure="false">Ajustes!$E$10:$E$13</definedName>
    <definedName function="false" hidden="false" name="Lista_statustagu" vbProcedure="false">Ajustes!$J$10:$J$12</definedName>
    <definedName function="false" hidden="false" name="Lista_zadanie" vbProcedure="false">Ajustes!$K$10:$K$13</definedName>
    <definedName function="false" hidden="false" name="Lista_zrodlo" vbProcedure="false">Ajustes!$G$10:$G$14</definedName>
    <definedName function="false" hidden="false" name="Objetivo" vbProcedure="false">Ajustes!$C$6</definedName>
    <definedName function="false" hidden="false" name="Prog_ostrz" vbProcedure="false">Ajustes!$C$7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<sst xmlns="http://schemas.openxmlformats.org/spreadsheetml/2006/main" count="723" uniqueCount="528">
  <si>
    <t xml:space="preserve">Kit de implantación de 5S</t>
  </si>
  <si>
    <t xml:space="preserve">Implantación, auditoría y sostenimiento del estándar. Herramienta de Excel (sin macros).</t>
  </si>
  <si>
    <t xml:space="preserve">Empresa:</t>
  </si>
  <si>
    <t xml:space="preserve">Versión 1.0</t>
  </si>
  <si>
    <t xml:space="preserve">Process Lab Pro | processlabpro.com</t>
  </si>
  <si>
    <t xml:space="preserve">Cómo empezar: 6 pasos</t>
  </si>
  <si>
    <t xml:space="preserve">1. Ajustes</t>
  </si>
  <si>
    <t xml:space="preserve">Introduzca el nombre de la empresa, las áreas y los auditores (campos amarillos). El objetivo es del 80 % por defecto.</t>
  </si>
  <si>
    <t xml:space="preserve">2. Despliegue 90 días</t>
  </si>
  <si>
    <t xml:space="preserve">Asigne responsables y fechas. El avance se calcula solo.</t>
  </si>
  <si>
    <t xml:space="preserve">3. Tarjetas rojas</t>
  </si>
  <si>
    <t xml:space="preserve">Durante la acción 1S registre los objetos marcados. Decisión en 7 días.</t>
  </si>
  <si>
    <t xml:space="preserve">4. Puntuaciones</t>
  </si>
  <si>
    <t xml:space="preserve">Cada columna es una auditoría: fecha, área, auditor y 40 puntuaciones (0–4 o NA).</t>
  </si>
  <si>
    <t xml:space="preserve">5. Plan de acción</t>
  </si>
  <si>
    <t xml:space="preserve">Convierta cada observación de la auditoría en una acción con responsable y fecha.</t>
  </si>
  <si>
    <t xml:space="preserve">6. Dashboard</t>
  </si>
  <si>
    <t xml:space="preserve">Elija un área y observe la tendencia, el perfil 5S, el ranking y las acciones atrasadas.</t>
  </si>
  <si>
    <t xml:space="preserve">Índice de hojas (haga clic para ir)</t>
  </si>
  <si>
    <t xml:space="preserve">Ajustes</t>
  </si>
  <si>
    <t xml:space="preserve">Empresa, áreas, auditores, objetivo y umbrales</t>
  </si>
  <si>
    <t xml:space="preserve">Lista_control</t>
  </si>
  <si>
    <t xml:space="preserve">40 preguntas con la descripción de qué comprobar y cómo es una puntuación ejemplar</t>
  </si>
  <si>
    <t xml:space="preserve">Puntuaciones</t>
  </si>
  <si>
    <t xml:space="preserve">Hoja de puntuación: hasta 60 auditorías, resultados 1S–5S calculados automáticamente</t>
  </si>
  <si>
    <t xml:space="preserve">Dashboard</t>
  </si>
  <si>
    <t xml:space="preserve">Resultado, cambio, radar 5S, tendencia, ranking de áreas</t>
  </si>
  <si>
    <t xml:space="preserve">Plan de acción</t>
  </si>
  <si>
    <t xml:space="preserve">Registro de acciones con fechas y estadísticas de retrasos</t>
  </si>
  <si>
    <t xml:space="preserve">Tarjetas rojas</t>
  </si>
  <si>
    <t xml:space="preserve">Registro de objetos marcados durante la clasificación</t>
  </si>
  <si>
    <t xml:space="preserve">Calendario de auditorías</t>
  </si>
  <si>
    <t xml:space="preserve">Plan anual frente a ejecución (de la hoja Puntuaciones)</t>
  </si>
  <si>
    <t xml:space="preserve">Despliegue 90 días</t>
  </si>
  <si>
    <t xml:space="preserve">Lista de tareas a 30/60/90 días con avance</t>
  </si>
  <si>
    <t xml:space="preserve">Calculos</t>
  </si>
  <si>
    <t xml:space="preserve">Auxiliar, no editar</t>
  </si>
  <si>
    <t xml:space="preserve">Leyenda</t>
  </si>
  <si>
    <t xml:space="preserve">Campo a rellenar</t>
  </si>
  <si>
    <t xml:space="preserve">Fondo amarillo, fuente azul: aquí introduce sus propios datos.</t>
  </si>
  <si>
    <t xml:space="preserve">Campo calculado</t>
  </si>
  <si>
    <t xml:space="preserve">Fondo blanco: resultado de una fórmula. No sobrescribir.</t>
  </si>
  <si>
    <t xml:space="preserve">Resultado como mínimo al nivel del objetivo (por defecto 80 %)</t>
  </si>
  <si>
    <t xml:space="preserve">A mejorar (por defecto 60–79 %)</t>
  </si>
  <si>
    <t xml:space="preserve">Crítico (por debajo del umbral de alerta)</t>
  </si>
  <si>
    <t xml:space="preserve">Licencia y notas</t>
  </si>
  <si>
    <t xml:space="preserve">Licencia de uso interno en una planta. Queda prohibida la reventa, la cesión a terceros y la publicación total o parcial sin el consentimiento del autor. La herramienta no contiene macros, por lo que no requiere permiso para ejecutarlas. Funciona en Microsoft Excel 2010 y posteriores y en LibreOffice Calc.</t>
  </si>
  <si>
    <t xml:space="preserve">© Process Lab Pro | processlabpro.com</t>
  </si>
  <si>
    <t xml:space="preserve">Cambie los campos amarillos. Los nombres de áreas y auditores alimentan las listas desplegables de todo el archivo.</t>
  </si>
  <si>
    <t xml:space="preserve">Nombre de la empresa / cliente</t>
  </si>
  <si>
    <t xml:space="preserve">Introduzca el nombre de la empresa o del cliente</t>
  </si>
  <si>
    <t xml:space="preserve">Año del calendario de auditorías</t>
  </si>
  <si>
    <t xml:space="preserve">Objetivo: resultado meta (verde)</t>
  </si>
  <si>
    <t xml:space="preserve">Umbral de alerta (por debajo = rojo)</t>
  </si>
  <si>
    <t xml:space="preserve">Áreas (hasta 15)</t>
  </si>
  <si>
    <t xml:space="preserve">Auditores (hasta 10)</t>
  </si>
  <si>
    <t xml:space="preserve">Estados de las acciones</t>
  </si>
  <si>
    <t xml:space="preserve">Prioridad</t>
  </si>
  <si>
    <t xml:space="preserve">Origen del aviso</t>
  </si>
  <si>
    <t xml:space="preserve">Motivo de la tarjeta</t>
  </si>
  <si>
    <t xml:space="preserve">Decisión sobre la tarjeta</t>
  </si>
  <si>
    <t xml:space="preserve">Estado de la tarjeta</t>
  </si>
  <si>
    <t xml:space="preserve">Estado de la tarea</t>
  </si>
  <si>
    <t xml:space="preserve">Criterio (S)</t>
  </si>
  <si>
    <t xml:space="preserve">Línea de producción 1</t>
  </si>
  <si>
    <t xml:space="preserve">Líder de 5S</t>
  </si>
  <si>
    <t xml:space="preserve">Abierto</t>
  </si>
  <si>
    <t xml:space="preserve">Alto</t>
  </si>
  <si>
    <t xml:space="preserve">Auditoría 5S</t>
  </si>
  <si>
    <t xml:space="preserve">Innecesario</t>
  </si>
  <si>
    <t xml:space="preserve">Se queda (vuelve a su sitio)</t>
  </si>
  <si>
    <t xml:space="preserve">Pendiente de decisión</t>
  </si>
  <si>
    <t xml:space="preserve">Por hacer</t>
  </si>
  <si>
    <t xml:space="preserve">1S Clasificar</t>
  </si>
  <si>
    <t xml:space="preserve">Línea de producción 2</t>
  </si>
  <si>
    <t xml:space="preserve">Auditor 2</t>
  </si>
  <si>
    <t xml:space="preserve">En curso</t>
  </si>
  <si>
    <t xml:space="preserve">Medio</t>
  </si>
  <si>
    <t xml:space="preserve">Control diario</t>
  </si>
  <si>
    <t xml:space="preserve">Dañado</t>
  </si>
  <si>
    <t xml:space="preserve">Trasladar a otra área</t>
  </si>
  <si>
    <t xml:space="preserve">Decidido</t>
  </si>
  <si>
    <t xml:space="preserve">2S Ordenar</t>
  </si>
  <si>
    <t xml:space="preserve">Almacén de materiales</t>
  </si>
  <si>
    <t xml:space="preserve">Auditor 3</t>
  </si>
  <si>
    <t xml:space="preserve">Cerrado</t>
  </si>
  <si>
    <t xml:space="preserve">Bajo</t>
  </si>
  <si>
    <t xml:space="preserve">Gemba de la dirección</t>
  </si>
  <si>
    <t xml:space="preserve">Exceso</t>
  </si>
  <si>
    <t xml:space="preserve">Vender o entregar</t>
  </si>
  <si>
    <t xml:space="preserve">Realizado</t>
  </si>
  <si>
    <t xml:space="preserve">Hecho</t>
  </si>
  <si>
    <t xml:space="preserve">3S Limpiar</t>
  </si>
  <si>
    <t xml:space="preserve">Almacén de producto terminado</t>
  </si>
  <si>
    <t xml:space="preserve">Cancelado</t>
  </si>
  <si>
    <t xml:space="preserve">Aviso del empleado</t>
  </si>
  <si>
    <t xml:space="preserve">Uso desconocido</t>
  </si>
  <si>
    <t xml:space="preserve">Desechar / eliminar</t>
  </si>
  <si>
    <t xml:space="preserve">No aplica</t>
  </si>
  <si>
    <t xml:space="preserve">4S Estandarizar</t>
  </si>
  <si>
    <t xml:space="preserve">Sala de herramientas</t>
  </si>
  <si>
    <t xml:space="preserve">Otro</t>
  </si>
  <si>
    <t xml:space="preserve">Sucio</t>
  </si>
  <si>
    <t xml:space="preserve">5S Disciplina</t>
  </si>
  <si>
    <t xml:space="preserve">Mantenimiento</t>
  </si>
  <si>
    <t xml:space="preserve">Control de calidad</t>
  </si>
  <si>
    <t xml:space="preserve">Embalaje</t>
  </si>
  <si>
    <t xml:space="preserve">Las listas de las columnas E–L alimentan los desplegables. No cambie sus nombres, porque las fórmulas buscan estas palabras (p. ej. «Cerrado»).</t>
  </si>
  <si>
    <t xml:space="preserve">Cómo se calcula el resultado</t>
  </si>
  <si>
    <t xml:space="preserve">Puntuación de la pregunta: 0–4 puntos. «NA» (no aplica) excluye la pregunta del resultado.</t>
  </si>
  <si>
    <t xml:space="preserve">Resultado 1S–5S = suma de puntos / (número de preguntas evaluadas × 4).</t>
  </si>
  <si>
    <t xml:space="preserve">Resultado total = media de los cinco resultados S, así que cada S pesa lo mismo.</t>
  </si>
  <si>
    <t xml:space="preserve">Una auditoría incompleta (menos de 40 respuestas) se calcula, pero lo verá en la fila «Completitud».</t>
  </si>
  <si>
    <t xml:space="preserve">Lista de verificación de auditoría 5S: 40 preguntas, escala 0–4</t>
  </si>
  <si>
    <t xml:space="preserve">Puede adaptar las preguntas a su planta (campos amarillos). Los cambios aparecen enseguida en la hoja «Puntuaciones». Versión para cliente: cambie solo el texto, no el número de preguntas.</t>
  </si>
  <si>
    <t xml:space="preserve">Escala de puntuación</t>
  </si>
  <si>
    <t xml:space="preserve">4</t>
  </si>
  <si>
    <t xml:space="preserve">Ejemplar</t>
  </si>
  <si>
    <t xml:space="preserve">Requisito cumplido por completo, mantenido en el tiempo y confirmado por el equipo.</t>
  </si>
  <si>
    <t xml:space="preserve">3</t>
  </si>
  <si>
    <t xml:space="preserve">Bien</t>
  </si>
  <si>
    <t xml:space="preserve">Cumplido en su mayor parte. Pequeñas desviaciones que el equipo detecta y corrige por sí mismo.</t>
  </si>
  <si>
    <t xml:space="preserve">2</t>
  </si>
  <si>
    <t xml:space="preserve">Parcialmente</t>
  </si>
  <si>
    <t xml:space="preserve">Cumplido aproximadamente en la mitad. Lagunas visibles, sin hábito constante.</t>
  </si>
  <si>
    <t xml:space="preserve">1</t>
  </si>
  <si>
    <t xml:space="preserve">Débil</t>
  </si>
  <si>
    <t xml:space="preserve">Hay elementos aislados en su sitio, pero faltan sistema y mantenimiento.</t>
  </si>
  <si>
    <t xml:space="preserve">0</t>
  </si>
  <si>
    <t xml:space="preserve">Ausente</t>
  </si>
  <si>
    <t xml:space="preserve">Requisito no cumplido o inexistente.</t>
  </si>
  <si>
    <t xml:space="preserve">NA</t>
  </si>
  <si>
    <t xml:space="preserve">La pregunta no se aplica en esta área. No entra en el resultado.</t>
  </si>
  <si>
    <t xml:space="preserve">Nr</t>
  </si>
  <si>
    <t xml:space="preserve">Criterio</t>
  </si>
  <si>
    <t xml:space="preserve">Pregunta de auditoría</t>
  </si>
  <si>
    <t xml:space="preserve">Qué comprobar</t>
  </si>
  <si>
    <t xml:space="preserve">Ejemplar (4 pts)</t>
  </si>
  <si>
    <t xml:space="preserve">Señal de problema (0–1 pts)</t>
  </si>
  <si>
    <t xml:space="preserve">1.1</t>
  </si>
  <si>
    <t xml:space="preserve">En el área no hay objetos innecesarios para el trabajo diario (herramientas, materiales, piezas, documentos).</t>
  </si>
  <si>
    <t xml:space="preserve">Encimeras, estantes, armarios, suelo, espacio detrás de las máquinas y encima de los armarios. Pregunta de control: ¿lo usa cada turno o cada semana?</t>
  </si>
  <si>
    <t xml:space="preserve">En el puesto solo está lo necesario en cada turno; lo demás tiene un lugar definido fuera de la zona de trabajo.</t>
  </si>
  <si>
    <t xml:space="preserve">Utillajes antiguos tras un cambio de modelo, cajas de cartón, piezas «por si acaso».</t>
  </si>
  <si>
    <t xml:space="preserve">1.2</t>
  </si>
  <si>
    <t xml:space="preserve">Los objetos sin responsable o de uso poco claro llevan una tarjeta roja con fecha límite de decisión.</t>
  </si>
  <si>
    <t xml:space="preserve">¿Hay tarjetas colocadas? ¿Tienen fecha y responsable de la decisión? ¿El registro de tarjetas coincide con lo que hay en el área?</t>
  </si>
  <si>
    <t xml:space="preserve">Todo objeto de estado dudoso tiene tarjeta, las decisiones se toman en 7 días y el registro está al día.</t>
  </si>
  <si>
    <t xml:space="preserve">Hay cosas sin identificar o tarjetas colgadas durante semanas sin decisión.</t>
  </si>
  <si>
    <t xml:space="preserve">1.3</t>
  </si>
  <si>
    <t xml:space="preserve">La zona de cuarentena (zona roja) está delimitada, rotulada y se vacía con regularidad.</t>
  </si>
  <si>
    <t xml:space="preserve">Ubicación y señalización de la zona, fechas en las tarjetas, si la zona se ha convertido en un almacén.</t>
  </si>
  <si>
    <t xml:space="preserve">La zona está claramente señalizada y nada permanece en ella más del plazo establecido.</t>
  </si>
  <si>
    <t xml:space="preserve">No hay zona, o está llena de cosas de hace meses.</t>
  </si>
  <si>
    <t xml:space="preserve">1.4</t>
  </si>
  <si>
    <t xml:space="preserve">Los materiales, semielaborados y productos terminados están en las cantidades necesarias (según mín/máx).</t>
  </si>
  <si>
    <t xml:space="preserve">Compare las cantidades del área con los límites establecidos; revise los palés junto a la máquina y los contenedores de semielaborados.</t>
  </si>
  <si>
    <t xml:space="preserve">Las cantidades están dentro de los límites y el exceso se notifica de inmediato.</t>
  </si>
  <si>
    <t xml:space="preserve">Stock «para varios turnos por adelantado», palés sin identificar, montones de semielaborados.</t>
  </si>
  <si>
    <t xml:space="preserve">1.5</t>
  </si>
  <si>
    <t xml:space="preserve">Las herramientas y equipos dañados, desgastados o averiados se han retirado del área o están claramente marcados.</t>
  </si>
  <si>
    <t xml:space="preserve">Cajones de herramientas, portaherramientas, instrumentos de medición, carretillas, escaleras, protecciones.</t>
  </si>
  <si>
    <t xml:space="preserve">No hay herramientas defectuosas en uso; las defectuosas están marcadas y notificadas para reparación o eliminación.</t>
  </si>
  <si>
    <t xml:space="preserve">Herramientas rotas que «todavía funcionan»; una carretilla con una rueda dañada.</t>
  </si>
  <si>
    <t xml:space="preserve">1.6</t>
  </si>
  <si>
    <t xml:space="preserve">Los documentos e instrucciones en el puesto están actualizados y los obsoletos se han retirado.</t>
  </si>
  <si>
    <t xml:space="preserve">Versiones y fechas de las instrucciones, fichas de control, notas en paredes y máquinas.</t>
  </si>
  <si>
    <t xml:space="preserve">Solo versiones vigentes, en un único lugar designado, sin notas a mano.</t>
  </si>
  <si>
    <t xml:space="preserve">Hojas amarillentas, varias versiones de la misma instrucción, notas pegadas con cinta.</t>
  </si>
  <si>
    <t xml:space="preserve">1.7</t>
  </si>
  <si>
    <t xml:space="preserve">Los objetos personales y no productivos (ropa, bebidas, comida, teléfonos) están solo en los lugares designados.</t>
  </si>
  <si>
    <t xml:space="preserve">Encimeras, paneles de las máquinas, armarios de herramientas, papeleras.</t>
  </si>
  <si>
    <t xml:space="preserve">En la zona de producción no hay objetos personales y el personal dispone de taquillas o vestuario.</t>
  </si>
  <si>
    <t xml:space="preserve">Chaquetas sobre las máquinas, botellas en las encimeras junto al material.</t>
  </si>
  <si>
    <t xml:space="preserve">1.8</t>
  </si>
  <si>
    <t xml:space="preserve">En armarios, cajones y debajo de las mesas no hay almacenes ocultos.</t>
  </si>
  <si>
    <t xml:space="preserve">Abra al azar tres armarios o cajones, mire debajo de las mesas y detrás de las estanterías.</t>
  </si>
  <si>
    <t xml:space="preserve">El contenido de cada armario corresponde a su rótulo y a las necesidades del puesto.</t>
  </si>
  <si>
    <t xml:space="preserve">Cajones llenos de piezas sueltas, cajas de cartón bajo la mesa.</t>
  </si>
  <si>
    <t xml:space="preserve">2.1</t>
  </si>
  <si>
    <t xml:space="preserve">Cada objeto tiene un lugar fijo y señalizado (contorno, silueta de la herramienta, etiqueta o dirección de ubicación).</t>
  </si>
  <si>
    <t xml:space="preserve">Elija cinco objetos al azar y pida que indiquen su lugar.</t>
  </si>
  <si>
    <t xml:space="preserve">Todos los objetos comprobados tienen un lugar inequívoco y una persona nueva los encuentra sin preguntar.</t>
  </si>
  <si>
    <t xml:space="preserve">Lugares «en la memoria» del personal, herramientas amontonadas.</t>
  </si>
  <si>
    <t xml:space="preserve">2.2</t>
  </si>
  <si>
    <t xml:space="preserve">La disposición responde a la frecuencia de uso: lo más frecuente al alcance de la mano, lo menos frecuente más lejos.</t>
  </si>
  <si>
    <t xml:space="preserve">Observe el trabajo durante 5 minutos: cuántos pasos, cuántas veces se agacha, cuánto busca.</t>
  </si>
  <si>
    <t xml:space="preserve">Lo que se usa en cada turno está al alcance del brazo y los movimientos innecesarios están reducidos.</t>
  </si>
  <si>
    <t xml:space="preserve">Una herramienta de uso frecuente está en un armario lejano.</t>
  </si>
  <si>
    <t xml:space="preserve">2.3</t>
  </si>
  <si>
    <t xml:space="preserve">Los lugares de almacenamiento tienen marcados el nivel mínimo y el máximo.</t>
  </si>
  <si>
    <t xml:space="preserve">Líneas mín/máx en estanterías, kanbans, baldas; ¿las conoce el personal?</t>
  </si>
  <si>
    <t xml:space="preserve">El mín/máx está marcado y se respeta; las faltas y los excesos se ven de inmediato.</t>
  </si>
  <si>
    <t xml:space="preserve">Sin límites, montones por encima de lo razonable, estanterías sobrecargadas.</t>
  </si>
  <si>
    <t xml:space="preserve">2.4</t>
  </si>
  <si>
    <t xml:space="preserve">El marcado del suelo (zonas, pasillos, ubicación de palés) es legible, y los equipos contra incendios y las salidas de emergencia están accesibles.</t>
  </si>
  <si>
    <t xml:space="preserve">Estado de la pintura o las cintas; si algo bloquea extintores, bocas de incendio, cuadros eléctricos y vías de paso.</t>
  </si>
  <si>
    <t xml:space="preserve">Marcas legibles y completas; todas las vías y los equipos de seguridad están libres.</t>
  </si>
  <si>
    <t xml:space="preserve">Líneas borradas, el palé está sobre la línea, el paso está obstruido.</t>
  </si>
  <si>
    <t xml:space="preserve">2.5</t>
  </si>
  <si>
    <t xml:space="preserve">Estanterías, armarios y contenedores están claramente rotulados (etiquetas comprensibles para una persona nueva).</t>
  </si>
  <si>
    <t xml:space="preserve">Etiquetas: uniformes, visibles desde 2–3 m, actuales y resistentes a las condiciones de la nave.</t>
  </si>
  <si>
    <t xml:space="preserve">Sistema de etiquetas uniforme, visible a distancia, acorde con el contenido.</t>
  </si>
  <si>
    <t xml:space="preserve">Rótulos a mano, pegatinas que se despegan, etiquetas que no coinciden con el contenido.</t>
  </si>
  <si>
    <t xml:space="preserve">2.6</t>
  </si>
  <si>
    <t xml:space="preserve">Un objeto que falta o está fuera de su sitio se ve al instante (control visual en menos de 30 segundos).</t>
  </si>
  <si>
    <t xml:space="preserve">Pregunte: ¿se ve que falta algo? Revise las siluetas de herramientas, los contornos, los indicadores de color.</t>
  </si>
  <si>
    <t xml:space="preserve">Las desviaciones del estándar se ven de inmediato, sin contar ni buscar.</t>
  </si>
  <si>
    <t xml:space="preserve">Nadie nota la falta hasta que se necesita la herramienta.</t>
  </si>
  <si>
    <t xml:space="preserve">2.7</t>
  </si>
  <si>
    <t xml:space="preserve">Los cables, mangueras y conductos están ordenados y no dificultan el trabajo ni crean riesgo de tropiezo.</t>
  </si>
  <si>
    <t xml:space="preserve">Pasillos, puestos de trabajo, mangueras neumáticas colgantes, alargaderas.</t>
  </si>
  <si>
    <t xml:space="preserve">Conducidos por canaletas o colgados, identificados, sin enredos.</t>
  </si>
  <si>
    <t xml:space="preserve">Alargaderas por el suelo, mangueras tendidas a través del paso.</t>
  </si>
  <si>
    <t xml:space="preserve">2.8</t>
  </si>
  <si>
    <t xml:space="preserve">Los contenedores de residuos y los residuos clasificados tienen un lugar fijo y señalizado.</t>
  </si>
  <si>
    <t xml:space="preserve">Colores, rótulos de fracciones, accesibilidad, ausencia de mezcla de residuos.</t>
  </si>
  <si>
    <t xml:space="preserve">Segregación conforme a las normas de la planta, contenedores rotulados y en ubicaciones fijas.</t>
  </si>
  <si>
    <t xml:space="preserve">Residuos mezclados, contenedores sin rotular, almacenamiento «salvaje».</t>
  </si>
  <si>
    <t xml:space="preserve">3.1</t>
  </si>
  <si>
    <t xml:space="preserve">Suelos, encimeras y máquinas están limpios (sin polvo, virutas, aceite ni restos de material).</t>
  </si>
  <si>
    <t xml:space="preserve">Pase el dedo por la superficie de la máquina, mire debajo de ella, encima de los armarios y en los rincones.</t>
  </si>
  <si>
    <t xml:space="preserve">Sin suciedad visible; los lugares de difícil acceso también están limpios.</t>
  </si>
  <si>
    <t xml:space="preserve">Capa de polvo o virutas, manchas de aceite, restos de material en el suelo.</t>
  </si>
  <si>
    <t xml:space="preserve">3.2</t>
  </si>
  <si>
    <t xml:space="preserve">El plan de limpieza define con claridad: qué, quién, con qué frecuencia y con qué se limpia.</t>
  </si>
  <si>
    <t xml:space="preserve">¿El plan está colgado, actualizado, se rellena y lo entiende también el turno de noche?</t>
  </si>
  <si>
    <t xml:space="preserve">El plan con responsables nominales y frecuencia se cumple y se confirma.</t>
  </si>
  <si>
    <t xml:space="preserve">No hay plan o «limpia el que lo ve».</t>
  </si>
  <si>
    <t xml:space="preserve">3.3</t>
  </si>
  <si>
    <t xml:space="preserve">Las herramientas y productos de limpieza están disponibles en el lugar, completos y en buen estado.</t>
  </si>
  <si>
    <t xml:space="preserve">Escobas, recogedores, trapos, absorbentes, aspiradora: ubicación, integridad, estado.</t>
  </si>
  <si>
    <t xml:space="preserve">El kit de limpieza está en el área, tiene un lugar fijo y funciona.</t>
  </si>
  <si>
    <t xml:space="preserve">Hay que traer el equipo desde el otro extremo de la nave o está desgastado.</t>
  </si>
  <si>
    <t xml:space="preserve">3.4</t>
  </si>
  <si>
    <t xml:space="preserve">La limpieza va unida a la inspección: fugas, holguras, falta de estanqueidad y daños se notifican.</t>
  </si>
  <si>
    <t xml:space="preserve">Pregunte al operario qué notó últimamente al limpiar; revise los avisos a mantenimiento.</t>
  </si>
  <si>
    <t xml:space="preserve">Las anomalías llegan al registro de avisos y se cierran.</t>
  </si>
  <si>
    <t xml:space="preserve">La fuga «siempre ha estado ahí», sin avisos.</t>
  </si>
  <si>
    <t xml:space="preserve">3.5</t>
  </si>
  <si>
    <t xml:space="preserve">Las fuentes de suciedad (fugas, polvo, residuos de proceso) están identificadas y se eliminan en origen.</t>
  </si>
  <si>
    <t xml:space="preserve">Lista de fuentes, protecciones, bandejas, extracciones; acciones registradas en el plan de acción.</t>
  </si>
  <si>
    <t xml:space="preserve">Las fuentes principales tienen acciones asignadas y el nivel de suciedad baja claramente.</t>
  </si>
  <si>
    <t xml:space="preserve">Limpiar una y otra vez el mismo sitio sin buscar la causa.</t>
  </si>
  <si>
    <t xml:space="preserve">3.6</t>
  </si>
  <si>
    <t xml:space="preserve">La iluminación funciona y está limpia; las protecciones, cristales y paneles informativos son legibles.</t>
  </si>
  <si>
    <t xml:space="preserve">Lámparas, pantallas, cristales de las máquinas, protecciones de sensores.</t>
  </si>
  <si>
    <t xml:space="preserve">Iluminación completa y limpia, protecciones transparentes, información legible.</t>
  </si>
  <si>
    <t xml:space="preserve">Lámparas fundidas, cristales sucios, paneles ilegibles.</t>
  </si>
  <si>
    <t xml:space="preserve">3.7</t>
  </si>
  <si>
    <t xml:space="preserve">Los contenedores de residuos no están rebosando y se vacían según el calendario.</t>
  </si>
  <si>
    <t xml:space="preserve">Nivel de llenado, entorno de los contenedores, calendario de vaciado.</t>
  </si>
  <si>
    <t xml:space="preserve">Contenedores vaciados a tiempo, nunca por encima del 80 % de su capacidad.</t>
  </si>
  <si>
    <t xml:space="preserve">Papeleras desbordadas, residuos junto a los contenedores.</t>
  </si>
  <si>
    <t xml:space="preserve">3.8</t>
  </si>
  <si>
    <t xml:space="preserve">Las zonas de aceites y productos químicos son estancas y están limpias; hay bandejas de retención y absorbentes disponibles.</t>
  </si>
  <si>
    <t xml:space="preserve">Bandejas, bidones, puntos de repostaje, fichas de seguridad, absorbentes completos.</t>
  </si>
  <si>
    <t xml:space="preserve">Sin fugas, bandejas secas, absorbentes completos y conocidos por el personal.</t>
  </si>
  <si>
    <t xml:space="preserve">Fugas, ausencia de bandejas, absorbente usado y sin reponer.</t>
  </si>
  <si>
    <t xml:space="preserve">4.1</t>
  </si>
  <si>
    <t xml:space="preserve">El estándar de aspecto del área (fotos del estado objetivo) está disponible en el área y actualizado.</t>
  </si>
  <si>
    <t xml:space="preserve">Fotos de referencia: ¿están colgadas, coinciden con la realidad, fecha de actualización?</t>
  </si>
  <si>
    <t xml:space="preserve">Las fotos estándar actuales están en un lugar visible y cubren los puntos clave del área.</t>
  </si>
  <si>
    <t xml:space="preserve">No hay estándar o las fotos no se corresponden con el puesto.</t>
  </si>
  <si>
    <t xml:space="preserve">4.2</t>
  </si>
  <si>
    <t xml:space="preserve">Las reglas de marcado (colores, etiquetas, símbolos) son uniformes en el área y coherentes con las normas de la planta.</t>
  </si>
  <si>
    <t xml:space="preserve">Compare con el área vecina: ¿el color y la etiqueta significan lo mismo?</t>
  </si>
  <si>
    <t xml:space="preserve">Una sola regla en toda la planta, descrita en el estándar.</t>
  </si>
  <si>
    <t xml:space="preserve">Cada departamento usa colores y etiquetas distintos.</t>
  </si>
  <si>
    <t xml:space="preserve">4.3</t>
  </si>
  <si>
    <t xml:space="preserve">Los roles y responsabilidades están definidos: responsable del área, líder de 5S, responsables de zonas.</t>
  </si>
  <si>
    <t xml:space="preserve">Tablón con nombres o matriz de responsabilidades; ¿sabe el personal quién responde de qué?</t>
  </si>
  <si>
    <t xml:space="preserve">Los roles están asignados nominalmente y todos los conocen y lo confirman en la conversación.</t>
  </si>
  <si>
    <t xml:space="preserve">«De las 5S responde todo el mundo», es decir, nadie.</t>
  </si>
  <si>
    <t xml:space="preserve">4.4</t>
  </si>
  <si>
    <t xml:space="preserve">La gestión visual funciona: marcas, indicadores y paneles informativos están completos y son legibles.</t>
  </si>
  <si>
    <t xml:space="preserve">Indicadores mín/máx, marcas de niveles y presiones, paneles, zonas.</t>
  </si>
  <si>
    <t xml:space="preserve">El estado de los parámetros clave se ve sin preguntar y sin documentos.</t>
  </si>
  <si>
    <t xml:space="preserve">Marcas descoloridas, incompletas o incomprensibles.</t>
  </si>
  <si>
    <t xml:space="preserve">4.5</t>
  </si>
  <si>
    <t xml:space="preserve">Existe una lista de verificación diaria de 5S (5 minutos) y se rellena realmente.</t>
  </si>
  <si>
    <t xml:space="preserve">Registros de los últimos 10 días y coincidencia de las anotaciones con el estado real del área.</t>
  </si>
  <si>
    <t xml:space="preserve">La lista la rellenan a diario los operarios y las desviaciones tienen acciones.</t>
  </si>
  <si>
    <t xml:space="preserve">Lista rellenada «de golpe» antes de la auditoría o vacía.</t>
  </si>
  <si>
    <t xml:space="preserve">4.6</t>
  </si>
  <si>
    <t xml:space="preserve">Los estándares son visuales (fotos, dibujos, colores) y se entienden sin leer instrucciones largas.</t>
  </si>
  <si>
    <t xml:space="preserve">Pida a una persona nueva que reproduzca el estándar según el documento.</t>
  </si>
  <si>
    <t xml:space="preserve">El estándar se entiende en 1–2 minutos, también para alguien de otro turno.</t>
  </si>
  <si>
    <t xml:space="preserve">El estándar es un texto de varias páginas que nadie ha leído.</t>
  </si>
  <si>
    <t xml:space="preserve">4.7</t>
  </si>
  <si>
    <t xml:space="preserve">Los nuevos empleados reciben formación sobre el estándar 5S de su área y la formación está documentada.</t>
  </si>
  <si>
    <t xml:space="preserve">Registro en la ficha de formación del puesto; conversación con la persona incorporada más recientemente.</t>
  </si>
  <si>
    <t xml:space="preserve">Cada persona nueva recibe la formación en la primera semana y la confirma con su firma.</t>
  </si>
  <si>
    <t xml:space="preserve">El estándar se transmite «de boca en boca».</t>
  </si>
  <si>
    <t xml:space="preserve">4.8</t>
  </si>
  <si>
    <t xml:space="preserve">Los cambios (máquina nueva, cambio de distribución, producto nuevo) conllevan la actualización del estándar 5S.</t>
  </si>
  <si>
    <t xml:space="preserve">Últimos cambios en el área y fecha de la última actualización del estándar.</t>
  </si>
  <si>
    <t xml:space="preserve">La actualización del estándar forma parte del proceso de cambios; el estándar siempre refleja el estado real.</t>
  </si>
  <si>
    <t xml:space="preserve">Se reformó el puesto y el estándar se quedó antiguo.</t>
  </si>
  <si>
    <t xml:space="preserve">5.1</t>
  </si>
  <si>
    <t xml:space="preserve">El personal mantiene el orden de forma continua, sin recordatorios ni controles.</t>
  </si>
  <si>
    <t xml:space="preserve">Observación sin aviso: comportamientos durante el turno y estado del área a mitad de turno.</t>
  </si>
  <si>
    <t xml:space="preserve">El orden es una parte natural del trabajo y el equipo corrige las desviaciones de inmediato.</t>
  </si>
  <si>
    <t xml:space="preserve">Orden solo «para la auditoría».</t>
  </si>
  <si>
    <t xml:space="preserve">5.2</t>
  </si>
  <si>
    <t xml:space="preserve">Se realizan a diario los 5 minutos al final del turno (limpieza y control).</t>
  </si>
  <si>
    <t xml:space="preserve">Pregunte al turno si lo hacen y cuándo; compruebe el estado al comienzo del turno siguiente.</t>
  </si>
  <si>
    <t xml:space="preserve">Ritual fijo de cierre de turno; el área se entrega al turno siguiente conforme al estándar.</t>
  </si>
  <si>
    <t xml:space="preserve">El turno siguiente empieza limpiando lo que dejó el anterior.</t>
  </si>
  <si>
    <t xml:space="preserve">5.3</t>
  </si>
  <si>
    <t xml:space="preserve">Las auditorías se realizan según el calendario y los resultados están expuestos en el área.</t>
  </si>
  <si>
    <t xml:space="preserve">Calendario frente a ejecución, panel de resultados, actualidad del último resultado.</t>
  </si>
  <si>
    <t xml:space="preserve">El 100 % de las auditorías realizadas en plazo; resultados visibles y comentados.</t>
  </si>
  <si>
    <t xml:space="preserve">Auditorías aplazadas porque «hay demasiado trabajo».</t>
  </si>
  <si>
    <t xml:space="preserve">5.4</t>
  </si>
  <si>
    <t xml:space="preserve">Las acciones de auditorías anteriores se ejecutan en plazo.</t>
  </si>
  <si>
    <t xml:space="preserve">Plan de acción: número de abiertas, vencidas, observaciones que se repiten de una auditoría a otra.</t>
  </si>
  <si>
    <t xml:space="preserve">Al menos el 90 % de las acciones se cierran en plazo y las observaciones no se repiten.</t>
  </si>
  <si>
    <t xml:space="preserve">Las mismas observaciones de una auditoría a otra.</t>
  </si>
  <si>
    <t xml:space="preserve">5.5</t>
  </si>
  <si>
    <t xml:space="preserve">La dirección visita el área con regularidad y comprueba las 5S sobre el terreno (gemba).</t>
  </si>
  <si>
    <t xml:space="preserve">Registro de visitas, conversación con el personal sobre la última visita del responsable.</t>
  </si>
  <si>
    <t xml:space="preserve">Presencia semanal del responsable, preguntas concretas y decisiones.</t>
  </si>
  <si>
    <t xml:space="preserve">El responsable ve las 5S solo en una presentación.</t>
  </si>
  <si>
    <t xml:space="preserve">5.6</t>
  </si>
  <si>
    <t xml:space="preserve">El personal conoce las reglas de 5S y sabe explicar qué forma parte de sus obligaciones.</t>
  </si>
  <si>
    <t xml:space="preserve">Haga a 2–3 personas preguntas: ¿qué es una tarjeta roja? ¿De qué es responsable usted en las 5S?</t>
  </si>
  <si>
    <t xml:space="preserve">Cada persona preguntada responde correcta y concretamente.</t>
  </si>
  <si>
    <t xml:space="preserve">No saben qué significan las marcas ni para qué sirven.</t>
  </si>
  <si>
    <t xml:space="preserve">5.7</t>
  </si>
  <si>
    <t xml:space="preserve">Las ideas y comentarios del personal sobre las 5S se recogen y se estudian, y los autores reciben respuesta.</t>
  </si>
  <si>
    <t xml:space="preserve">Buzón o panel de ideas, número de propuestas, tiempo de respuesta.</t>
  </si>
  <si>
    <t xml:space="preserve">Las propuestas son regulares, la respuesta llega en 7 días y las ideas implantadas son visibles.</t>
  </si>
  <si>
    <t xml:space="preserve">Las ideas desaparecen sin respuesta.</t>
  </si>
  <si>
    <t xml:space="preserve">5.8</t>
  </si>
  <si>
    <t xml:space="preserve">Los resultados de 5S se siguen en tendencia y se comentan en reuniones; el resultado se mantiene en el objetivo o sube.</t>
  </si>
  <si>
    <t xml:space="preserve">Gráfico de tendencia en el panel, acta de la revisión, dirección de los tres últimos resultados.</t>
  </si>
  <si>
    <t xml:space="preserve">Resultado en el objetivo o por encima en las tres últimas auditorías, tendencia comentada cada mes.</t>
  </si>
  <si>
    <t xml:space="preserve">El resultado baja y nadie lo comenta.</t>
  </si>
  <si>
    <t xml:space="preserve">Hoja de puntuación: una columna = una auditoría</t>
  </si>
  <si>
    <t xml:space="preserve">Introduzca la fecha, elija el área y el auditor, y luego puntúe (0–4 o NA). Los resultados se calculan automáticamente abajo y en la hoja Dashboard. Nueva auditoría = siguiente columna libre.</t>
  </si>
  <si>
    <t xml:space="preserve">N.º de auditoría</t>
  </si>
  <si>
    <t xml:space="preserve">Fecha de la auditoría</t>
  </si>
  <si>
    <t xml:space="preserve">Área</t>
  </si>
  <si>
    <t xml:space="preserve">Auditor</t>
  </si>
  <si>
    <t xml:space="preserve">Puntuaciones (0–4 o NA)</t>
  </si>
  <si>
    <t xml:space="preserve">1S</t>
  </si>
  <si>
    <t xml:space="preserve">Clasificar (Seiri)</t>
  </si>
  <si>
    <t xml:space="preserve">2S</t>
  </si>
  <si>
    <t xml:space="preserve">Ordenar (Seiton)</t>
  </si>
  <si>
    <t xml:space="preserve">3S</t>
  </si>
  <si>
    <t xml:space="preserve">Limpiar (Seiso)</t>
  </si>
  <si>
    <t xml:space="preserve">4S</t>
  </si>
  <si>
    <t xml:space="preserve">Estandarizar (Seiketsu)</t>
  </si>
  <si>
    <t xml:space="preserve">5S</t>
  </si>
  <si>
    <t xml:space="preserve">Disciplina (Shitsuke)</t>
  </si>
  <si>
    <t xml:space="preserve">RESULTADOS DE LA AUDITORÍA (calculados automáticamente)</t>
  </si>
  <si>
    <t xml:space="preserve">RESULTADO TOTAL (media 1S–5S)</t>
  </si>
  <si>
    <t xml:space="preserve">Completitud de la auditoría (respuestas de 40)</t>
  </si>
  <si>
    <t xml:space="preserve">(auxiliar) auditoría con resultado y área</t>
  </si>
  <si>
    <t xml:space="preserve">(auxiliar) clave área|número</t>
  </si>
  <si>
    <t xml:space="preserve">Panel de resultados 5S</t>
  </si>
  <si>
    <t xml:space="preserve">Situación a:</t>
  </si>
  <si>
    <t xml:space="preserve">Área:</t>
  </si>
  <si>
    <t xml:space="preserve">← elija un área de la lista (el panel se recalcula automáticamente)</t>
  </si>
  <si>
    <t xml:space="preserve">ÚLTIMO RESULTADO</t>
  </si>
  <si>
    <t xml:space="preserve">CAMBIO RESPECTO AL ANTERIOR</t>
  </si>
  <si>
    <t xml:space="preserve">OBJ</t>
  </si>
  <si>
    <t xml:space="preserve">NÚMERO DE AUDITORÍAS</t>
  </si>
  <si>
    <t xml:space="preserve">ACCIONES: ABIERTAS / VENCIDAS</t>
  </si>
  <si>
    <t xml:space="preserve">en el área seleccionada</t>
  </si>
  <si>
    <t xml:space="preserve">Primera auditoría</t>
  </si>
  <si>
    <t xml:space="preserve">Anterior</t>
  </si>
  <si>
    <t xml:space="preserve">Último</t>
  </si>
  <si>
    <t xml:space="preserve">Cambio (pp)</t>
  </si>
  <si>
    <t xml:space="preserve">Hasta el objetivo (pp)</t>
  </si>
  <si>
    <t xml:space="preserve">Puntuación</t>
  </si>
  <si>
    <t xml:space="preserve">RESULTADO TOTAL</t>
  </si>
  <si>
    <t xml:space="preserve">Ranking de áreas (última auditoría de cada área)</t>
  </si>
  <si>
    <t xml:space="preserve">Pos.</t>
  </si>
  <si>
    <t xml:space="preserve">Resultado</t>
  </si>
  <si>
    <t xml:space="preserve">Auditorías</t>
  </si>
  <si>
    <t xml:space="preserve">Anote aquí cada observación de una auditoría, del control diario o del gemba: con responsable y fecha. El estado «Cerrado» + la fecha de cierre activa las estadísticas.</t>
  </si>
  <si>
    <t xml:space="preserve">Ejemplo de registro: 12/03/2026 | Auditoría 5S | n.º 7 | Línea de producción 1 | 2S Ordenar | Sin etiquetas en la estantería R-04 | Imprimir y colocar las etiquetas | Líder de 5S | 26/03/2026 | Medio | Cerrado | 24/03/2026</t>
  </si>
  <si>
    <t xml:space="preserve">Total de registros</t>
  </si>
  <si>
    <t xml:space="preserve">Abiertas y en curso</t>
  </si>
  <si>
    <t xml:space="preserve">Vencidas</t>
  </si>
  <si>
    <t xml:space="preserve">Cerradas en plazo</t>
  </si>
  <si>
    <t xml:space="preserve">Abiertas según criterio:</t>
  </si>
  <si>
    <t xml:space="preserve">Lp.</t>
  </si>
  <si>
    <t xml:space="preserve">Fecha del aviso</t>
  </si>
  <si>
    <t xml:space="preserve">Origen</t>
  </si>
  <si>
    <t xml:space="preserve">Descripción del problema</t>
  </si>
  <si>
    <t xml:space="preserve">Acción correctiva</t>
  </si>
  <si>
    <t xml:space="preserve">Responsable</t>
  </si>
  <si>
    <t xml:space="preserve">Fecha límite</t>
  </si>
  <si>
    <t xml:space="preserve">Estado</t>
  </si>
  <si>
    <t xml:space="preserve">Fecha de cierre</t>
  </si>
  <si>
    <t xml:space="preserve">Días de retraso</t>
  </si>
  <si>
    <t xml:space="preserve">Observaciones</t>
  </si>
  <si>
    <t xml:space="preserve">Registro de tarjetas rojas</t>
  </si>
  <si>
    <t xml:space="preserve">Anote aquí cada objeto marcado con tarjeta roja. N.º de tarjeta = número del formulario impreso. La decisión debe tomarse en 7 días.</t>
  </si>
  <si>
    <t xml:space="preserve">Ejemplo de registro: 05/02/2026 | Línea de producción 1 | Líder de 5S | Utillaje de montaje (modelo 2023) | 3 | Innecesario | Trasladar a otra área | Jefe de producción | 12/02/2026 | Realizado | 11/02/2026</t>
  </si>
  <si>
    <t xml:space="preserve">Total de tarjetas</t>
  </si>
  <si>
    <t xml:space="preserve">Vencidas para decisión</t>
  </si>
  <si>
    <t xml:space="preserve">Tiempo medio de ejecución (días)</t>
  </si>
  <si>
    <t xml:space="preserve">N.º de tarjeta</t>
  </si>
  <si>
    <t xml:space="preserve">Fecha de colocación</t>
  </si>
  <si>
    <t xml:space="preserve">Quien la coloca</t>
  </si>
  <si>
    <t xml:space="preserve">Objeto / descripción</t>
  </si>
  <si>
    <t xml:space="preserve">Cantidad</t>
  </si>
  <si>
    <t xml:space="preserve">Motivo</t>
  </si>
  <si>
    <t xml:space="preserve">Decisión</t>
  </si>
  <si>
    <t xml:space="preserve">Responsable de la decisión</t>
  </si>
  <si>
    <t xml:space="preserve">Fecha límite de decisión</t>
  </si>
  <si>
    <t xml:space="preserve">Fecha de ejecución</t>
  </si>
  <si>
    <t xml:space="preserve">Días abierta</t>
  </si>
  <si>
    <t xml:space="preserve">Calendario de auditorías 5S</t>
  </si>
  <si>
    <t xml:space="preserve">Bloque 1: introduzca el número de auditorías previstas por mes (campos amarillos). El bloque 2 se calcula solo a partir de la hoja Puntuaciones. Verde = realizada, rojo = atrasada.</t>
  </si>
  <si>
    <t xml:space="preserve">Año:</t>
  </si>
  <si>
    <t xml:space="preserve">Inicio de mes (auxiliar)</t>
  </si>
  <si>
    <t xml:space="preserve">Fin de mes (auxiliar)</t>
  </si>
  <si>
    <t xml:space="preserve">BLOQUE 1: PLAN (número de auditorías previstas)</t>
  </si>
  <si>
    <t xml:space="preserve">Auditor responsable</t>
  </si>
  <si>
    <t xml:space="preserve">Frecuencia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</si>
  <si>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</si>
  <si>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</si>
  <si>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</si>
  <si>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</si>
  <si>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</si>
  <si>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</si>
  <si>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</si>
  <si>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</si>
  <si>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</si>
  <si>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</si>
  <si>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</si>
  <si>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</si>
  <si>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Suma del plan</t>
  </si>
  <si>
    <t xml:space="preserve">BLOQUE 2: EJECUCIÓN (de la hoja Puntuaciones, calculada automáticamente)</t>
  </si>
  <si>
    <t xml:space="preserve">Cumplimiento del plan (meses terminados)</t>
  </si>
  <si>
    <t xml:space="preserve">Leyenda: verde = auditorías previstas realizadas, rojo = atrasadas (el mes ya pasó), azul = aún por llegar. Cuenta una auditoría con resultado completo y área seleccionada.</t>
  </si>
  <si>
    <t xml:space="preserve">Plan de implantación 5S: 30 / 60 / 90 días</t>
  </si>
  <si>
    <t xml:space="preserve">Complete los responsables y las fechas y cambie el estado sobre la marcha. El avance se calcula solo.</t>
  </si>
  <si>
    <t xml:space="preserve">Avance de la implantación</t>
  </si>
  <si>
    <t xml:space="preserve">Etapa</t>
  </si>
  <si>
    <t xml:space="preserve">Tareas</t>
  </si>
  <si>
    <t xml:space="preserve">Avance</t>
  </si>
  <si>
    <t xml:space="preserve">Días 1–30: base y piloto</t>
  </si>
  <si>
    <t xml:space="preserve">Días 31–60: estándar y ampliación</t>
  </si>
  <si>
    <t xml:space="preserve">Días 61–90: sostenimiento y ritmo</t>
  </si>
  <si>
    <t xml:space="preserve">Total</t>
  </si>
  <si>
    <t xml:space="preserve">Tarea</t>
  </si>
  <si>
    <t xml:space="preserve">Criterio de finalización</t>
  </si>
  <si>
    <t xml:space="preserve">Designar al patrocinador de la implantación y al líder de 5S</t>
  </si>
  <si>
    <t xml:space="preserve">El patrocinador (director de planta o de producción) y el líder tienen los roles por escrito y tiempo reservado en el calendario.</t>
  </si>
  <si>
    <t xml:space="preserve">Elegir el área piloto</t>
  </si>
  <si>
    <t xml:space="preserve">Un área con potencial visible y un responsable de turno comprometido. Ni la peor ni la mejor de la planta.</t>
  </si>
  <si>
    <t xml:space="preserve">Fijar objetivos e indicadores</t>
  </si>
  <si>
    <t xml:space="preserve">Objetivo de resultado de auditoría por escrito (p. ej. 80 %), fecha límite y 2–3 efectos medibles (tiempo de búsqueda, superficie, número de avisos).</t>
  </si>
  <si>
    <t xml:space="preserve">Formar al equipo piloto (60–90 min)</t>
  </si>
  <si>
    <t xml:space="preserve">Lista de asistencia; el equipo conoce los 5 pasos, la tarjeta roja y las reglas de la zona de cuarentena.</t>
  </si>
  <si>
    <t xml:space="preserve">Tomar fotos del estado inicial</t>
  </si>
  <si>
    <t xml:space="preserve">Fotos «antes» desde los mismos puntos que se usarán después para las fotos «después».</t>
  </si>
  <si>
    <t xml:space="preserve">Realizar la auditoría cero</t>
  </si>
  <si>
    <t xml:space="preserve">Ficha de auditoría completa en el archivo Excel; el resultado es el punto de referencia.</t>
  </si>
  <si>
    <t xml:space="preserve">Preparar los materiales</t>
  </si>
  <si>
    <t xml:space="preserve">Tarjetas rojas, cintas, etiquetas, panel, contenedores para la zona de cuarentena, bolsas, productos de limpieza.</t>
  </si>
  <si>
    <t xml:space="preserve">Acción 1S: clasificar con tarjetas rojas</t>
  </si>
  <si>
    <t xml:space="preserve">Todos los objetos de estado dudoso etiquetados con tarjeta y anotados en el registro.</t>
  </si>
  <si>
    <t xml:space="preserve">Resolver las tarjetas rojas</t>
  </si>
  <si>
    <t xml:space="preserve">Decisiones en 7 días; zona de cuarentena vaciada en el plazo establecido.</t>
  </si>
  <si>
    <t xml:space="preserve">Acción 2S: ubicaciones, etiquetas, contornos</t>
  </si>
  <si>
    <t xml:space="preserve">Cada objeto tiene una dirección; mín/máx fijados para los materiales.</t>
  </si>
  <si>
    <t xml:space="preserve">Acción 3S: limpieza y fuentes de suciedad</t>
  </si>
  <si>
    <t xml:space="preserve">Área limpiada, tres fuentes principales de suciedad identificadas con acciones asignadas.</t>
  </si>
  <si>
    <t xml:space="preserve">Primera auditoría tras la acción</t>
  </si>
  <si>
    <t xml:space="preserve">Auditoría realizada por una persona distinta del líder; resultado comparado con la auditoría cero.</t>
  </si>
  <si>
    <t xml:space="preserve">Documentar el estándar del área</t>
  </si>
  <si>
    <t xml:space="preserve">Fotos del estado objetivo expuestas en el área, rotuladas, con fecha de actualización.</t>
  </si>
  <si>
    <t xml:space="preserve">Introducir el control diario de 5 minutos</t>
  </si>
  <si>
    <t xml:space="preserve">Lista rellenada por los operarios al final del turno; una semana de prueba en un turno y luego en todos.</t>
  </si>
  <si>
    <t xml:space="preserve">Colocar el panel de 5S en el área</t>
  </si>
  <si>
    <t xml:space="preserve">Panel con el resultado, la tendencia, el plan de acción y el nombre del responsable del área.</t>
  </si>
  <si>
    <t xml:space="preserve">Formar a los auditores y realizar la calibración</t>
  </si>
  <si>
    <t xml:space="preserve">Al menos 3 auditores; auditoría conjunta de un área y puntuaciones consensuadas.</t>
  </si>
  <si>
    <t xml:space="preserve">Fijar el calendario de auditorías</t>
  </si>
  <si>
    <t xml:space="preserve">Calendario anual en la hoja «Calendario_auditorias», con auditores y fechas.</t>
  </si>
  <si>
    <t xml:space="preserve">Extender 1S–3S a 2–3 áreas más</t>
  </si>
  <si>
    <t xml:space="preserve">Para cada área: auditoría cero, acción 1S–3S, auditoría tras la acción.</t>
  </si>
  <si>
    <t xml:space="preserve">Primer ciclo de auditorías cruzadas</t>
  </si>
  <si>
    <t xml:space="preserve">Los auditores evalúan áreas que no dirigen; resultados en el archivo.</t>
  </si>
  <si>
    <t xml:space="preserve">Primera revisión del plan de acción</t>
  </si>
  <si>
    <t xml:space="preserve">Todas las acciones tienen responsable y fecha; no más del 10 % vencidas.</t>
  </si>
  <si>
    <t xml:space="preserve">Poner en marcha la revisión mensual de 5S</t>
  </si>
  <si>
    <t xml:space="preserve">Reunión de 30–45 min con resultados, tendencia y las acciones más antiguas.</t>
  </si>
  <si>
    <t xml:space="preserve">Introducir el gemba semanal de la dirección</t>
  </si>
  <si>
    <t xml:space="preserve">El responsable visita un área por semana, hace preguntas y anota observaciones.</t>
  </si>
  <si>
    <t xml:space="preserve">Planificar la rotación de auditores</t>
  </si>
  <si>
    <t xml:space="preserve">El mismo auditor no evalúa la misma área dos veces seguidas.</t>
  </si>
  <si>
    <t xml:space="preserve">Definir una forma de reconocimiento para los equipos</t>
  </si>
  <si>
    <t xml:space="preserve">Distinción al mejor área y al equipo con mayor progreso. Sin competir a costa de la rigurosidad.</t>
  </si>
  <si>
    <t xml:space="preserve">Actualizar los estándares tras los cambios</t>
  </si>
  <si>
    <t xml:space="preserve">Cada cambio en el área tiene su registro y fotos actualizadas.</t>
  </si>
  <si>
    <t xml:space="preserve">Resumir los 90 días</t>
  </si>
  <si>
    <t xml:space="preserve">Informe: resultados, efectos, conclusiones, costes; comparación con los objetivos fijados.</t>
  </si>
  <si>
    <t xml:space="preserve">Decidir sobre la implantación en toda la planta</t>
  </si>
  <si>
    <t xml:space="preserve">Decisión del patrocinador con el plan de las siguientes áreas y recursos.</t>
  </si>
  <si>
    <t xml:space="preserve">Cálculos auxiliares para el panel Dashboard. No editar.</t>
  </si>
  <si>
    <t xml:space="preserve">Área seleccionada</t>
  </si>
  <si>
    <t xml:space="preserve">Número de auditorías con resultado</t>
  </si>
  <si>
    <t xml:space="preserve">Columna de la última auditoría</t>
  </si>
  <si>
    <t xml:space="preserve">Columna de la auditoría anterior</t>
  </si>
  <si>
    <t xml:space="preserve">Primera auditoría en la ventana de tendencia</t>
  </si>
  <si>
    <t xml:space="preserve">Columna de la primera auditoría</t>
  </si>
  <si>
    <t xml:space="preserve">j</t>
  </si>
  <si>
    <t xml:space="preserve">k-ésima auditoría</t>
  </si>
  <si>
    <t xml:space="preserve">kolumna</t>
  </si>
  <si>
    <t xml:space="preserve">etykieta</t>
  </si>
  <si>
    <t xml:space="preserve">resultado total</t>
  </si>
  <si>
    <t xml:space="preserve">objetivo</t>
  </si>
  <si>
    <t xml:space="preserve">Nota: los valores que faltan en la columna E son intencionados (puntos vacíos de la tendencia); el gráfico los omite.</t>
  </si>
  <si>
    <t xml:space="preserve">Última auditoría</t>
  </si>
  <si>
    <t xml:space="preserve">Objetivo</t>
  </si>
  <si>
    <t xml:space="preserve">n auditorías</t>
  </si>
  <si>
    <t xml:space="preserve">col. últ.</t>
  </si>
  <si>
    <t xml:space="preserve">wynik</t>
  </si>
  <si>
    <t xml:space="preserve">clave orden</t>
  </si>
  <si>
    <t xml:space="preserve">col. primera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</si>
</sst>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0%"/>
    <numFmt numFmtId="167" formatCode="dd\.mm\.yy"/>
    <numFmt numFmtId="168" formatCode="General"/>
    <numFmt numFmtId="169" formatCode="dd\.mm\.yyyy"/>
    <numFmt numFmtId="170" formatCode="\+0.0&quot; pp&quot;;\-0.0&quot; pp&quot;;0.0&quot; pp&quot;"/>
    <numFmt numFmtId="171" formatCode="@"/>
    <numFmt numFmtId="172" formatCode="\+0;\-0;0"/>
    <numFmt numFmtId="173" formatCode="0.0"/>
    <numFmt numFmtId="174" formatCode="dd\.mm"/>
    <numFmt numFmtId="175" formatCode="0;;;"/>
  </numFmts>
  <fonts count="5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A1A45"/>
      <name val="Arial"/>
      <family val="0"/>
      <charset val="1"/>
    </font>
    <font>
      <sz val="12"/>
      <color rgb="FF5B6475"/>
      <name val="Arial"/>
      <family val="0"/>
      <charset val="1"/>
    </font>
    <font>
      <b val="true"/>
      <sz val="10"/>
      <color rgb="FF1B2233"/>
      <name val="Arial"/>
      <family val="0"/>
      <charset val="1"/>
    </font>
    <font>
      <b val="true"/>
      <sz val="10"/>
      <color rgb="FF1A3FD0"/>
      <name val="Arial"/>
      <family val="0"/>
      <charset val="1"/>
    </font>
    <font>
      <sz val="9"/>
      <color rgb="FF5B6475"/>
      <name val="Arial"/>
      <family val="0"/>
      <charset val="1"/>
    </font>
    <font>
      <b val="true"/>
      <sz val="13"/>
      <color rgb="FF0A1A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B2233"/>
      <name val="Arial"/>
      <family val="0"/>
      <charset val="1"/>
    </font>
    <font>
      <b val="true"/>
      <u val="single"/>
      <sz val="10"/>
      <color rgb="FF1F4FD8"/>
      <name val="Arial"/>
      <family val="0"/>
      <charset val="1"/>
    </font>
    <font>
      <sz val="10"/>
      <color rgb="FF1A3FD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11"/>
      <color rgb="FF0A1A45"/>
      <name val="Arial"/>
      <family val="0"/>
      <charset val="1"/>
    </font>
    <font>
      <b val="true"/>
      <sz val="10"/>
      <color rgb="FFD9523F"/>
      <name val="Arial"/>
      <family val="0"/>
      <charset val="1"/>
    </font>
    <font>
      <b val="true"/>
      <sz val="10"/>
      <color rgb="FFE69A1F"/>
      <name val="Arial"/>
      <family val="0"/>
      <charset val="1"/>
    </font>
    <font>
      <b val="true"/>
      <sz val="10"/>
      <color rgb="FF27956B"/>
      <name val="Arial"/>
      <family val="0"/>
      <charset val="1"/>
    </font>
    <font>
      <b val="true"/>
      <sz val="10"/>
      <color rgb="FF2F6FE0"/>
      <name val="Arial"/>
      <family val="0"/>
      <charset val="1"/>
    </font>
    <font>
      <b val="true"/>
      <sz val="10"/>
      <color rgb="FF7050C8"/>
      <name val="Arial"/>
      <family val="0"/>
      <charset val="1"/>
    </font>
    <font>
      <sz val="8"/>
      <color rgb="FF1A3FD0"/>
      <name val="Arial"/>
      <family val="0"/>
      <charset val="1"/>
    </font>
    <font>
      <b val="true"/>
      <sz val="9"/>
      <color rgb="FF5B647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D9523F"/>
      <name val="Arial"/>
      <family val="0"/>
      <charset val="1"/>
    </font>
    <font>
      <sz val="9"/>
      <color rgb="FF1B2233"/>
      <name val="Arial"/>
      <family val="0"/>
      <charset val="1"/>
    </font>
    <font>
      <b val="true"/>
      <sz val="11"/>
      <color rgb="FF1A3FD0"/>
      <name val="Arial"/>
      <family val="0"/>
      <charset val="1"/>
    </font>
    <font>
      <b val="true"/>
      <sz val="9"/>
      <color rgb="FFE69A1F"/>
      <name val="Arial"/>
      <family val="0"/>
      <charset val="1"/>
    </font>
    <font>
      <b val="true"/>
      <sz val="9"/>
      <color rgb="FF27956B"/>
      <name val="Arial"/>
      <family val="0"/>
      <charset val="1"/>
    </font>
    <font>
      <b val="true"/>
      <sz val="9"/>
      <color rgb="FF2F6FE0"/>
      <name val="Arial"/>
      <family val="0"/>
      <charset val="1"/>
    </font>
    <font>
      <b val="true"/>
      <sz val="9"/>
      <color rgb="FF7050C8"/>
      <name val="Arial"/>
      <family val="0"/>
      <charset val="1"/>
    </font>
    <font>
      <b val="true"/>
      <sz val="10"/>
      <color rgb="FF0A1A45"/>
      <name val="Arial"/>
      <family val="0"/>
      <charset val="1"/>
    </font>
    <font>
      <b val="true"/>
      <sz val="11"/>
      <color rgb="FF1B2233"/>
      <name val="Arial"/>
      <family val="0"/>
      <charset val="1"/>
    </font>
    <font>
      <sz val="8"/>
      <color rgb="FF9AA3B5"/>
      <name val="Arial"/>
      <family val="0"/>
      <charset val="1"/>
    </font>
    <font>
      <sz val="6"/>
      <color rgb="FFC9CED8"/>
      <name val="Arial"/>
      <family val="0"/>
      <charset val="1"/>
    </font>
    <font>
      <b val="true"/>
      <sz val="12"/>
      <color rgb="FF1A3FD0"/>
      <name val="Arial"/>
      <family val="0"/>
      <charset val="1"/>
    </font>
    <font>
      <b val="true"/>
      <sz val="8"/>
      <color rgb="FF5B6475"/>
      <name val="Arial"/>
      <family val="0"/>
      <charset val="1"/>
    </font>
    <font>
      <b val="true"/>
      <sz val="22"/>
      <color rgb="FF0A1A45"/>
      <name val="Arial"/>
      <family val="0"/>
      <charset val="1"/>
    </font>
    <font>
      <sz val="8"/>
      <color rgb="FF5B647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 val="true"/>
      <sz val="18"/>
      <color rgb="FF0A1A45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2"/>
      <color rgb="FF0A1A45"/>
      <name val="Arial"/>
      <family val="0"/>
      <charset val="1"/>
    </font>
    <font>
      <sz val="7"/>
      <color rgb="FF9AA3B5"/>
      <name val="Arial"/>
      <family val="0"/>
      <charset val="1"/>
    </font>
    <font>
      <b val="true"/>
      <sz val="11"/>
      <color rgb="FF1F4FD8"/>
      <name val="Arial"/>
      <family val="0"/>
      <charset val="1"/>
    </font>
    <font>
      <b val="true"/>
      <sz val="11"/>
      <color rgb="FF27956B"/>
      <name val="Arial"/>
      <family val="0"/>
      <charset val="1"/>
    </font>
    <font>
      <b val="true"/>
      <sz val="11"/>
      <color rgb="FFC0392B"/>
      <name val="Arial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F4FD8"/>
        <bgColor rgb="FF1A3FD0"/>
      </patternFill>
    </fill>
    <fill>
      <patternFill patternType="solid">
        <fgColor rgb="FFF4F7FF"/>
        <bgColor rgb="FFFFFFFF"/>
      </patternFill>
    </fill>
    <fill>
      <patternFill patternType="solid">
        <fgColor rgb="FF0A1A45"/>
        <bgColor rgb="FF1B2233"/>
      </patternFill>
    </fill>
    <fill>
      <patternFill patternType="solid">
        <fgColor rgb="FFFFF7D6"/>
        <bgColor rgb="FFFFF0B0"/>
      </patternFill>
    </fill>
    <fill>
      <patternFill patternType="solid">
        <fgColor rgb="FFAEE0C0"/>
        <bgColor rgb="FFC9CED8"/>
      </patternFill>
    </fill>
    <fill>
      <patternFill patternType="solid">
        <fgColor rgb="FFFFF0B0"/>
        <bgColor rgb="FFFFF7D6"/>
      </patternFill>
    </fill>
    <fill>
      <patternFill patternType="solid">
        <fgColor rgb="FFF6C6BE"/>
        <bgColor rgb="FFFAD9B8"/>
      </patternFill>
    </fill>
    <fill>
      <patternFill patternType="solid">
        <fgColor rgb="FF27956B"/>
        <bgColor rgb="FF1E8A5A"/>
      </patternFill>
    </fill>
    <fill>
      <patternFill patternType="solid">
        <fgColor rgb="FF6BB58E"/>
        <bgColor rgb="FF9AA3B5"/>
      </patternFill>
    </fill>
    <fill>
      <patternFill patternType="solid">
        <fgColor rgb="FFE6B53C"/>
        <bgColor rgb="FFE69A1F"/>
      </patternFill>
    </fill>
    <fill>
      <patternFill patternType="solid">
        <fgColor rgb="FFE58A3B"/>
        <bgColor rgb="FFE69A1F"/>
      </patternFill>
    </fill>
    <fill>
      <patternFill patternType="solid">
        <fgColor rgb="FFD9523F"/>
        <bgColor rgb="FFC0392B"/>
      </patternFill>
    </fill>
    <fill>
      <patternFill patternType="solid">
        <fgColor rgb="FF8A93A6"/>
        <bgColor rgb="FF878787"/>
      </patternFill>
    </fill>
    <fill>
      <patternFill patternType="solid">
        <fgColor rgb="FFE69A1F"/>
        <bgColor rgb="FFE58A3B"/>
      </patternFill>
    </fill>
    <fill>
      <patternFill patternType="solid">
        <fgColor rgb="FF2F6FE0"/>
        <bgColor rgb="FF1F4FD8"/>
      </patternFill>
    </fill>
    <fill>
      <patternFill patternType="solid">
        <fgColor rgb="FF7050C8"/>
        <bgColor rgb="FF5B647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3D9E6"/>
      </left>
      <right style="thin">
        <color rgb="FFD3D9E6"/>
      </right>
      <top style="thin">
        <color rgb="FFD3D9E6"/>
      </top>
      <bottom style="thin">
        <color rgb="FFD3D9E6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thin">
        <color rgb="FFD3D9E6"/>
      </left>
      <right/>
      <top style="thin">
        <color rgb="FFD3D9E6"/>
      </top>
      <bottom style="thin">
        <color rgb="FFD3D9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4" fillId="1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1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9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1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1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19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20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32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8" fontId="3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6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72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2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3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3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3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3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4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6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ill>
        <patternFill>
          <bgColor rgb="FFF6C6BE"/>
        </patternFill>
      </fill>
    </dxf>
    <dxf>
      <fill>
        <patternFill>
          <bgColor rgb="FFFAD9B8"/>
        </patternFill>
      </fill>
    </dxf>
    <dxf>
      <fill>
        <patternFill>
          <bgColor rgb="FFFFF0B0"/>
        </patternFill>
      </fill>
    </dxf>
    <dxf>
      <fill>
        <patternFill>
          <bgColor rgb="FFD4EDDC"/>
        </patternFill>
      </fill>
    </dxf>
    <dxf>
      <fill>
        <patternFill>
          <bgColor rgb="FFAEE0C0"/>
        </patternFill>
      </fill>
    </dxf>
    <dxf>
      <font>
        <color rgb="FF8A93A6"/>
      </font>
      <fill>
        <patternFill>
          <bgColor rgb="FFE5E8EE"/>
        </patternFill>
      </fill>
    </dxf>
    <dxf>
      <font>
        <b val="1"/>
        <color rgb="FFC0392B"/>
      </font>
    </dxf>
    <dxf>
      <font>
        <b val="1"/>
        <color rgb="FF1E8A5A"/>
        <sz val="22"/>
      </font>
    </dxf>
    <dxf>
      <font>
        <b val="1"/>
        <color rgb="FFC98A00"/>
        <sz val="22"/>
      </font>
    </dxf>
    <dxf>
      <font>
        <b val="1"/>
        <color rgb="FFC0392B"/>
        <sz val="22"/>
      </font>
    </dxf>
    <dxf>
      <fill>
        <patternFill patternType="solid">
          <fgColor rgb="FF1F4FD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B647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1A3FD0"/>
          <bgColor rgb="FF000000"/>
        </patternFill>
      </fill>
    </dxf>
    <dxf>
      <fill>
        <patternFill patternType="solid">
          <fgColor rgb="FFC0392B"/>
          <bgColor rgb="FF000000"/>
        </patternFill>
      </fill>
    </dxf>
    <dxf>
      <font>
        <b val="1"/>
        <color rgb="FFC0392B"/>
      </font>
      <fill>
        <patternFill>
          <bgColor rgb="FFF6C6BE"/>
        </patternFill>
      </fill>
    </dxf>
    <dxf>
      <font>
        <color rgb="FF1E8A5A"/>
      </font>
    </dxf>
    <dxf>
      <fill>
        <patternFill patternType="solid">
          <fgColor rgb="FFD9523F"/>
          <bgColor rgb="FF000000"/>
        </patternFill>
      </fill>
    </dxf>
    <dxf>
      <fill>
        <patternFill>
          <bgColor rgb="FFE3E8F5"/>
        </patternFill>
      </fill>
    </dxf>
    <dxf>
      <font>
        <color rgb="FFC9CED8"/>
      </font>
    </dxf>
  </dxfs>
  <colors>
    <indexedColors>
      <rgbColor rgb="FF000000"/>
      <rgbColor rgb="FFFFFFFF"/>
      <rgbColor rgb="FFFF0000"/>
      <rgbColor rgb="FF00FF00"/>
      <rgbColor rgb="FF0000FF"/>
      <rgbColor rgb="FFE5E8EE"/>
      <rgbColor rgb="FFFF00FF"/>
      <rgbColor rgb="FF00FFFF"/>
      <rgbColor rgb="FF800000"/>
      <rgbColor rgb="FF008000"/>
      <rgbColor rgb="FF000080"/>
      <rgbColor rgb="FFC98A00"/>
      <rgbColor rgb="FF800080"/>
      <rgbColor rgb="FF1E8A5A"/>
      <rgbColor rgb="FFD9D9D9"/>
      <rgbColor rgb="FF878787"/>
      <rgbColor rgb="FF9AA3B5"/>
      <rgbColor rgb="FF7050C8"/>
      <rgbColor rgb="FFFFF7D6"/>
      <rgbColor rgb="FFE3E8F5"/>
      <rgbColor rgb="FF660066"/>
      <rgbColor rgb="FFE58A3B"/>
      <rgbColor rgb="FF1F4FD8"/>
      <rgbColor rgb="FFC9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F"/>
      <rgbColor rgb="FFD4EDDC"/>
      <rgbColor rgb="FFFFF0B0"/>
      <rgbColor rgb="FFAEE0C0"/>
      <rgbColor rgb="FFFAD9B8"/>
      <rgbColor rgb="FFD3D9E6"/>
      <rgbColor rgb="FFF6C6BE"/>
      <rgbColor rgb="FF2F6FE0"/>
      <rgbColor rgb="FF6BB58E"/>
      <rgbColor rgb="FF99CC00"/>
      <rgbColor rgb="FFE6B53C"/>
      <rgbColor rgb="FFE69A1F"/>
      <rgbColor rgb="FFD9523F"/>
      <rgbColor rgb="FF5B6475"/>
      <rgbColor rgb="FF8A93A6"/>
      <rgbColor rgb="FF0A1A45"/>
      <rgbColor rgb="FF27956B"/>
      <rgbColor rgb="FF003300"/>
      <rgbColor rgb="FF333300"/>
      <rgbColor rgb="FFC0392B"/>
      <rgbColor rgb="FF993366"/>
      <rgbColor rgb="FF1A3FD0"/>
      <rgbColor rgb="FF1B22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Perfil 5S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radarChart>
        <c:radarStyle val="marker"/>
        <c:varyColors val="0"/>
        <c:ser>
          <c:idx val="0"/>
          <c:order val="0"/>
          <c:tx>
            <c:strRef>
              <c:f>Calculos!B24</c:f>
              <c:strCache>
                <c:ptCount val="1"/>
                <c:pt idx="0">
                  <c:v>Primera auditoría</c:v>
                </c:pt>
              </c:strCache>
            </c:strRef>
          </c:tx>
          <c:spPr>
            <a:solidFill>
              <a:srgbClr val="9aa3b5"/>
            </a:solidFill>
            <a:ln w="19080">
              <a:solidFill>
                <a:srgbClr val="9aa3b5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Calculos!$A$25:$A$29</c:f>
              <c:strCache>
                <c:ptCount val="5"/>
                <c:pt idx="0">
                  <c:v>1S Clasificar</c:v>
                </c:pt>
                <c:pt idx="1">
                  <c:v>2S Ordenar</c:v>
                </c:pt>
                <c:pt idx="2">
                  <c:v>3S Limpiar</c:v>
                </c:pt>
                <c:pt idx="3">
                  <c:v>4S Estandarizar</c:v>
                </c:pt>
                <c:pt idx="4">
                  <c:v>5S Disciplina</c:v>
                </c:pt>
              </c:strCache>
            </c:strRef>
          </c:cat>
          <c:val>
            <c:numRef>
              <c:f>Calculos!$B$25:$B$29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Calculos!C24</c:f>
              <c:strCache>
                <c:ptCount val="1"/>
                <c:pt idx="0">
                  <c:v>Última auditoría</c:v>
                </c:pt>
              </c:strCache>
            </c:strRef>
          </c:tx>
          <c:spPr>
            <a:solidFill>
              <a:srgbClr val="1f4fd8"/>
            </a:solidFill>
            <a:ln w="28080">
              <a:solidFill>
                <a:srgbClr val="1f4fd8"/>
              </a:solidFill>
              <a:round/>
            </a:ln>
          </c:spPr>
          <c:marker>
            <c:symbol val="circle"/>
            <c:size val="6"/>
            <c:spPr>
              <a:solidFill>
                <a:srgbClr val="1f4fd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Calculos!$A$25:$A$29</c:f>
              <c:strCache>
                <c:ptCount val="5"/>
                <c:pt idx="0">
                  <c:v>1S Clasificar</c:v>
                </c:pt>
                <c:pt idx="1">
                  <c:v>2S Ordenar</c:v>
                </c:pt>
                <c:pt idx="2">
                  <c:v>3S Limpiar</c:v>
                </c:pt>
                <c:pt idx="3">
                  <c:v>4S Estandarizar</c:v>
                </c:pt>
                <c:pt idx="4">
                  <c:v>5S Disciplina</c:v>
                </c:pt>
              </c:strCache>
            </c:strRef>
          </c:cat>
          <c:val>
            <c:numRef>
              <c:f>Calculos!$C$25:$C$29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Calculos!D24</c:f>
              <c:strCache>
                <c:ptCount val="1"/>
                <c:pt idx="0">
                  <c:v>Objetivo</c:v>
                </c:pt>
              </c:strCache>
            </c:strRef>
          </c:tx>
          <c:spPr>
            <a:solidFill>
              <a:srgbClr val="e69a1f"/>
            </a:solidFill>
            <a:ln w="19080">
              <a:solidFill>
                <a:srgbClr val="e69a1f"/>
              </a:solidFill>
              <a:prstDash val="sysDot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Calculos!$A$25:$A$29</c:f>
              <c:strCache>
                <c:ptCount val="5"/>
                <c:pt idx="0">
                  <c:v>1S Clasificar</c:v>
                </c:pt>
                <c:pt idx="1">
                  <c:v>2S Ordenar</c:v>
                </c:pt>
                <c:pt idx="2">
                  <c:v>3S Limpiar</c:v>
                </c:pt>
                <c:pt idx="3">
                  <c:v>4S Estandarizar</c:v>
                </c:pt>
                <c:pt idx="4">
                  <c:v>5S Disciplina</c:v>
                </c:pt>
              </c:strCache>
            </c:strRef>
          </c:cat>
          <c:val>
            <c:numRef>
              <c:f>Calculos!$D$25:$D$29</c:f>
              <c:numCache>
                <c:formatCode>0%</c:formatCode>
                <c:ptCount val="5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</c:numCache>
            </c:numRef>
          </c:val>
        </c:ser>
        <c:axId val="73975669"/>
        <c:axId val="17366436"/>
      </c:radarChart>
      <c:catAx>
        <c:axId val="7397566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366436"/>
        <c:crosses val="autoZero"/>
        <c:auto val="1"/>
        <c:lblAlgn val="ctr"/>
        <c:lblOffset val="100"/>
        <c:noMultiLvlLbl val="0"/>
      </c:catAx>
      <c:valAx>
        <c:axId val="17366436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975669"/>
        <c:crosses val="autoZero"/>
        <c:crossBetween val="midCat"/>
        <c:majorUnit val="0.2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Tendencia del resultado total (últimas 12 auditorías)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Calculos!E9</c:f>
              <c:strCache>
                <c:ptCount val="1"/>
                <c:pt idx="0">
                  <c:v>resultado total</c:v>
                </c:pt>
              </c:strCache>
            </c:strRef>
          </c:tx>
          <c:spPr>
            <a:solidFill>
              <a:srgbClr val="1f4fd8"/>
            </a:solidFill>
            <a:ln w="32040">
              <a:solidFill>
                <a:srgbClr val="1f4fd8"/>
              </a:solidFill>
              <a:round/>
            </a:ln>
          </c:spPr>
          <c:marker>
            <c:symbol val="circle"/>
            <c:size val="7"/>
            <c:spPr>
              <a:solidFill>
                <a:srgbClr val="1f4fd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Calculos!$D$10:$D$21</c:f>
              <c:strCach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Calculos!$E$10:$E$21</c:f>
              <c:numCache>
                <c:formatCode>0%</c:formatCode>
                <c:ptCount val="12"/>
              </c:numCache>
            </c:numRef>
          </c:val>
          <c:smooth val="0"/>
        </c:ser>
        <c:ser>
          <c:idx val="1"/>
          <c:order val="1"/>
          <c:tx>
            <c:strRef>
              <c:f>Calculos!F9</c:f>
              <c:strCache>
                <c:ptCount val="1"/>
                <c:pt idx="0">
                  <c:v>objetivo</c:v>
                </c:pt>
              </c:strCache>
            </c:strRef>
          </c:tx>
          <c:spPr>
            <a:solidFill>
              <a:srgbClr val="e69a1f"/>
            </a:solidFill>
            <a:ln w="19080">
              <a:solidFill>
                <a:srgbClr val="e69a1f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Calculos!$D$10:$D$21</c:f>
              <c:strCach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Calculos!$F$10:$F$21</c:f>
              <c:numCache>
                <c:formatCode>0%</c:formatCode>
                <c:ptCount val="12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0178987"/>
        <c:axId val="19308963"/>
      </c:lineChart>
      <c:catAx>
        <c:axId val="201789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-2700000"/>
          <a:lstStyle/>
          <a:p>
            <a:pPr>
              <a:defRPr b="0" sz="8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308963"/>
        <c:crosses val="autoZero"/>
        <c:auto val="1"/>
        <c:lblAlgn val="ctr"/>
        <c:lblOffset val="100"/>
        <c:noMultiLvlLbl val="0"/>
      </c:catAx>
      <c:valAx>
        <c:axId val="19308963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178987"/>
        <c:crosses val="autoZero"/>
        <c:crossBetween val="between"/>
        <c:majorUnit val="0.2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Ranking de áreas (TOP 10)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Dashboard!E40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rgbClr val="1f4fd8"/>
            </a:solidFill>
            <a:ln w="0">
              <a:solidFill>
                <a:srgbClr val="1f4fd8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Dashboard!$B$41:$B$50</c:f>
              <c:strCache>
                <c:ptCount val="1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Dashboard!$E$41:$E$50</c:f>
              <c:numCache>
                <c:formatCode>General</c:formatCode>
                <c:ptCount val="10"/>
              </c:numCache>
            </c:numRef>
          </c:val>
        </c:ser>
        <c:gapWidth val="40"/>
        <c:overlap val="0"/>
        <c:axId val="69761680"/>
        <c:axId val="23930383"/>
      </c:barChart>
      <c:catAx>
        <c:axId val="6976168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930383"/>
        <c:crosses val="autoZero"/>
        <c:auto val="1"/>
        <c:lblAlgn val="ctr"/>
        <c:lblOffset val="100"/>
        <c:noMultiLvlLbl val="0"/>
      </c:catAx>
      <c:valAx>
        <c:axId val="23930383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761680"/>
        <c:crosses val="autoZero"/>
        <c:crossBetween val="between"/>
        <c:majorUnit val="0.25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5</xdr:col>
      <xdr:colOff>516960</xdr:colOff>
      <xdr:row>26</xdr:row>
      <xdr:rowOff>73080</xdr:rowOff>
    </xdr:to>
    <xdr:graphicFrame>
      <xdr:nvGraphicFramePr>
        <xdr:cNvPr id="0" name="Chart 1"/>
        <xdr:cNvGraphicFramePr/>
      </xdr:nvGraphicFramePr>
      <xdr:xfrm>
        <a:off x="0" y="2428920"/>
        <a:ext cx="4463640" cy="331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9</xdr:row>
      <xdr:rowOff>0</xdr:rowOff>
    </xdr:from>
    <xdr:to>
      <xdr:col>13</xdr:col>
      <xdr:colOff>378360</xdr:colOff>
      <xdr:row>26</xdr:row>
      <xdr:rowOff>73080</xdr:rowOff>
    </xdr:to>
    <xdr:graphicFrame>
      <xdr:nvGraphicFramePr>
        <xdr:cNvPr id="1" name="Chart 2"/>
        <xdr:cNvGraphicFramePr/>
      </xdr:nvGraphicFramePr>
      <xdr:xfrm>
        <a:off x="4735800" y="2428920"/>
        <a:ext cx="5903640" cy="331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38</xdr:row>
      <xdr:rowOff>0</xdr:rowOff>
    </xdr:from>
    <xdr:to>
      <xdr:col>14</xdr:col>
      <xdr:colOff>589320</xdr:colOff>
      <xdr:row>53</xdr:row>
      <xdr:rowOff>102960</xdr:rowOff>
    </xdr:to>
    <xdr:graphicFrame>
      <xdr:nvGraphicFramePr>
        <xdr:cNvPr id="2" name="Chart 3"/>
        <xdr:cNvGraphicFramePr/>
      </xdr:nvGraphicFramePr>
      <xdr:xfrm>
        <a:off x="7103880" y="8458200"/>
        <a:ext cx="4535640" cy="345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clean_final.xlsx" TargetMode="External"/><Relationship Id="rId2" Type="http://schemas.openxmlformats.org/officeDocument/2006/relationships/hyperlink" Target="clean_final.xlsx" TargetMode="External"/><Relationship Id="rId3" Type="http://schemas.openxmlformats.org/officeDocument/2006/relationships/hyperlink" Target="clean_final.xlsx" TargetMode="External"/><Relationship Id="rId4" Type="http://schemas.openxmlformats.org/officeDocument/2006/relationships/hyperlink" Target="clean_final.xlsx" TargetMode="External"/><Relationship Id="rId5" Type="http://schemas.openxmlformats.org/officeDocument/2006/relationships/hyperlink" Target="clean_final.xlsx" TargetMode="External"/><Relationship Id="rId6" Type="http://schemas.openxmlformats.org/officeDocument/2006/relationships/hyperlink" Target="clean_final.xlsx" TargetMode="External"/><Relationship Id="rId7" Type="http://schemas.openxmlformats.org/officeDocument/2006/relationships/hyperlink" Target="clean_final.xlsx" TargetMode="External"/><Relationship Id="rId8" Type="http://schemas.openxmlformats.org/officeDocument/2006/relationships/hyperlink" Target="clean_final.xlsx" TargetMode="External"/><Relationship Id="rId9" Type="http://schemas.openxmlformats.org/officeDocument/2006/relationships/hyperlink" Target="clean_final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1A45"/>
    <pageSetUpPr fitToPage="true"/>
  </sheetPr>
  <dimension ref="A1:C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84"/>
  </cols>
  <sheetData>
    <row r="1" customFormat="false" ht="6" hidden="false" customHeight="true" outlineLevel="0" collapsed="false">
      <c r="A1" s="1"/>
      <c r="B1" s="1"/>
      <c r="C1" s="1"/>
    </row>
    <row r="2" customFormat="false" ht="43.5" hidden="false" customHeight="true" outlineLevel="0" collapsed="false">
      <c r="B2" s="2" t="s">
        <v>0</v>
      </c>
      <c r="C2" s="2"/>
    </row>
    <row r="3" customFormat="false" ht="15" hidden="false" customHeight="false" outlineLevel="0" collapsed="false">
      <c r="B3" s="3" t="s">
        <v>1</v>
      </c>
      <c r="C3" s="3"/>
    </row>
    <row r="4" customFormat="false" ht="15" hidden="false" customHeight="false" outlineLevel="0" collapsed="false">
      <c r="B4" s="4" t="s">
        <v>2</v>
      </c>
      <c r="C4" s="5" t="str">
        <f aca="false">Empresa</f>
        <v>Introduzca el nombre de la empresa o del cliente</v>
      </c>
    </row>
    <row r="5" customFormat="false" ht="15" hidden="false" customHeight="false" outlineLevel="0" collapsed="false">
      <c r="B5" s="6" t="s">
        <v>3</v>
      </c>
      <c r="C5" s="6" t="s">
        <v>4</v>
      </c>
    </row>
    <row r="7" customFormat="false" ht="16.15" hidden="false" customHeight="false" outlineLevel="0" collapsed="false">
      <c r="B7" s="7" t="s">
        <v>5</v>
      </c>
    </row>
    <row r="8" customFormat="false" ht="25.5" hidden="false" customHeight="true" outlineLevel="0" collapsed="false">
      <c r="B8" s="8" t="s">
        <v>6</v>
      </c>
      <c r="C8" s="9" t="s">
        <v>7</v>
      </c>
    </row>
    <row r="9" customFormat="false" ht="25.5" hidden="false" customHeight="true" outlineLevel="0" collapsed="false">
      <c r="B9" s="10" t="s">
        <v>8</v>
      </c>
      <c r="C9" s="9" t="s">
        <v>9</v>
      </c>
    </row>
    <row r="10" customFormat="false" ht="25.5" hidden="false" customHeight="true" outlineLevel="0" collapsed="false">
      <c r="B10" s="8" t="s">
        <v>10</v>
      </c>
      <c r="C10" s="9" t="s">
        <v>11</v>
      </c>
    </row>
    <row r="11" customFormat="false" ht="25.5" hidden="false" customHeight="true" outlineLevel="0" collapsed="false">
      <c r="B11" s="10" t="s">
        <v>12</v>
      </c>
      <c r="C11" s="9" t="s">
        <v>13</v>
      </c>
    </row>
    <row r="12" customFormat="false" ht="25.5" hidden="false" customHeight="true" outlineLevel="0" collapsed="false">
      <c r="B12" s="8" t="s">
        <v>14</v>
      </c>
      <c r="C12" s="9" t="s">
        <v>15</v>
      </c>
    </row>
    <row r="13" customFormat="false" ht="25.5" hidden="false" customHeight="true" outlineLevel="0" collapsed="false">
      <c r="B13" s="10" t="s">
        <v>16</v>
      </c>
      <c r="C13" s="9" t="s">
        <v>17</v>
      </c>
    </row>
    <row r="15" customFormat="false" ht="16.15" hidden="false" customHeight="false" outlineLevel="0" collapsed="false">
      <c r="B15" s="7" t="s">
        <v>18</v>
      </c>
    </row>
    <row r="16" customFormat="false" ht="19.5" hidden="false" customHeight="true" outlineLevel="0" collapsed="false">
      <c r="B16" s="11" t="s">
        <v>19</v>
      </c>
      <c r="C16" s="12" t="s">
        <v>20</v>
      </c>
    </row>
    <row r="17" customFormat="false" ht="19.5" hidden="false" customHeight="true" outlineLevel="0" collapsed="false">
      <c r="B17" s="11" t="s">
        <v>21</v>
      </c>
      <c r="C17" s="12" t="s">
        <v>22</v>
      </c>
    </row>
    <row r="18" customFormat="false" ht="19.5" hidden="false" customHeight="true" outlineLevel="0" collapsed="false">
      <c r="B18" s="11" t="s">
        <v>23</v>
      </c>
      <c r="C18" s="12" t="s">
        <v>24</v>
      </c>
    </row>
    <row r="19" customFormat="false" ht="19.5" hidden="false" customHeight="true" outlineLevel="0" collapsed="false">
      <c r="B19" s="11" t="s">
        <v>25</v>
      </c>
      <c r="C19" s="12" t="s">
        <v>26</v>
      </c>
    </row>
    <row r="20" customFormat="false" ht="19.5" hidden="false" customHeight="true" outlineLevel="0" collapsed="false">
      <c r="B20" s="11" t="s">
        <v>27</v>
      </c>
      <c r="C20" s="12" t="s">
        <v>28</v>
      </c>
    </row>
    <row r="21" customFormat="false" ht="19.5" hidden="false" customHeight="true" outlineLevel="0" collapsed="false">
      <c r="B21" s="11" t="s">
        <v>29</v>
      </c>
      <c r="C21" s="12" t="s">
        <v>30</v>
      </c>
    </row>
    <row r="22" customFormat="false" ht="19.5" hidden="false" customHeight="true" outlineLevel="0" collapsed="false">
      <c r="B22" s="11" t="s">
        <v>31</v>
      </c>
      <c r="C22" s="12" t="s">
        <v>32</v>
      </c>
    </row>
    <row r="23" customFormat="false" ht="19.5" hidden="false" customHeight="true" outlineLevel="0" collapsed="false">
      <c r="B23" s="11" t="s">
        <v>33</v>
      </c>
      <c r="C23" s="12" t="s">
        <v>34</v>
      </c>
    </row>
    <row r="24" customFormat="false" ht="19.5" hidden="false" customHeight="true" outlineLevel="0" collapsed="false">
      <c r="B24" s="11" t="s">
        <v>35</v>
      </c>
      <c r="C24" s="12" t="s">
        <v>36</v>
      </c>
    </row>
    <row r="26" customFormat="false" ht="16.15" hidden="false" customHeight="false" outlineLevel="0" collapsed="false">
      <c r="B26" s="7" t="s">
        <v>37</v>
      </c>
    </row>
    <row r="27" customFormat="false" ht="15" hidden="false" customHeight="false" outlineLevel="0" collapsed="false">
      <c r="B27" s="13" t="s">
        <v>38</v>
      </c>
      <c r="C27" s="14" t="s">
        <v>39</v>
      </c>
    </row>
    <row r="28" customFormat="false" ht="15" hidden="false" customHeight="false" outlineLevel="0" collapsed="false">
      <c r="B28" s="15" t="s">
        <v>40</v>
      </c>
      <c r="C28" s="14" t="s">
        <v>41</v>
      </c>
    </row>
    <row r="29" customFormat="false" ht="15" hidden="false" customHeight="false" outlineLevel="0" collapsed="false">
      <c r="B29" s="16"/>
      <c r="C29" s="14" t="s">
        <v>42</v>
      </c>
    </row>
    <row r="30" customFormat="false" ht="15" hidden="false" customHeight="false" outlineLevel="0" collapsed="false">
      <c r="B30" s="17"/>
      <c r="C30" s="14" t="s">
        <v>43</v>
      </c>
    </row>
    <row r="31" customFormat="false" ht="15" hidden="false" customHeight="false" outlineLevel="0" collapsed="false">
      <c r="B31" s="18"/>
      <c r="C31" s="14" t="s">
        <v>44</v>
      </c>
    </row>
    <row r="34" customFormat="false" ht="16.15" hidden="false" customHeight="false" outlineLevel="0" collapsed="false">
      <c r="B34" s="7" t="s">
        <v>45</v>
      </c>
    </row>
    <row r="35" customFormat="false" ht="39.75" hidden="false" customHeight="true" outlineLevel="0" collapsed="false">
      <c r="B35" s="19" t="s">
        <v>46</v>
      </c>
      <c r="C35" s="19"/>
    </row>
    <row r="36" customFormat="false" ht="15" hidden="false" customHeight="false" outlineLevel="0" collapsed="false">
      <c r="B36" s="20" t="s">
        <v>47</v>
      </c>
      <c r="C36" s="20"/>
    </row>
  </sheetData>
  <mergeCells count="5">
    <mergeCell ref="A1:C1"/>
    <mergeCell ref="B2:C2"/>
    <mergeCell ref="B3:C3"/>
    <mergeCell ref="B35:C35"/>
    <mergeCell ref="B36:C36"/>
  </mergeCells>
  <hyperlinks>
    <hyperlink ref="B16" r:id="rId1" location="'Ajustes'!A1" display="Ajustes"/>
    <hyperlink ref="B17" r:id="rId2" location="'Lista_control'!A1" display="Lista_control"/>
    <hyperlink ref="B18" r:id="rId3" location="'Puntuaciones'!A1" display="Puntuaciones"/>
    <hyperlink ref="B19" r:id="rId4" location="'Dashboard'!A1" display="Dashboard"/>
    <hyperlink ref="B20" r:id="rId5" location="'Plan_accion'!A1" display="Plan de acción"/>
    <hyperlink ref="B21" r:id="rId6" location="'Tarjetas_rojas'!A1" display="Tarjetas rojas"/>
    <hyperlink ref="B22" r:id="rId7" location="'Calendario_auditorias'!A1" display="Calendario de auditorías"/>
    <hyperlink ref="B23" r:id="rId8" location="'Despliegue_90_dias'!A1" display="Despliegue 90 días"/>
    <hyperlink ref="B24" r:id="rId9" location="'Calculos'!A1" display="Calculos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B5"/>
    <pageSetUpPr fitToPage="true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"/>
    <col collapsed="false" customWidth="true" hidden="false" outlineLevel="0" max="3" min="3" style="0" width="26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8" min="7" style="0" width="24"/>
    <col collapsed="false" customWidth="true" hidden="false" outlineLevel="0" max="9" min="9" style="0" width="30"/>
    <col collapsed="false" customWidth="true" hidden="false" outlineLevel="0" max="11" min="10" style="0" width="16"/>
    <col collapsed="false" customWidth="true" hidden="false" outlineLevel="0" max="12" min="12" style="0" width="22"/>
  </cols>
  <sheetData>
    <row r="1" customFormat="false" ht="30" hidden="false" customHeight="true" outlineLevel="0" collapsed="false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customFormat="false" ht="30" hidden="false" customHeight="true" outlineLevel="0" collapsed="false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4" customFormat="false" ht="15" hidden="false" customHeight="true" outlineLevel="0" collapsed="false">
      <c r="A4" s="4" t="s">
        <v>49</v>
      </c>
      <c r="C4" s="23" t="s">
        <v>50</v>
      </c>
      <c r="D4" s="23"/>
      <c r="E4" s="23"/>
      <c r="F4" s="23"/>
      <c r="G4" s="23"/>
      <c r="H4" s="23"/>
    </row>
    <row r="5" customFormat="false" ht="15" hidden="false" customHeight="false" outlineLevel="0" collapsed="false">
      <c r="A5" s="4" t="s">
        <v>51</v>
      </c>
      <c r="C5" s="24" t="n">
        <v>2026</v>
      </c>
    </row>
    <row r="6" customFormat="false" ht="15" hidden="false" customHeight="false" outlineLevel="0" collapsed="false">
      <c r="A6" s="4" t="s">
        <v>52</v>
      </c>
      <c r="C6" s="25" t="n">
        <v>0.8</v>
      </c>
    </row>
    <row r="7" customFormat="false" ht="15" hidden="false" customHeight="false" outlineLevel="0" collapsed="false">
      <c r="A7" s="4" t="s">
        <v>53</v>
      </c>
      <c r="C7" s="25" t="n">
        <v>0.6</v>
      </c>
    </row>
    <row r="9" customFormat="false" ht="23.85" hidden="false" customHeight="false" outlineLevel="0" collapsed="false">
      <c r="A9" s="26" t="s">
        <v>54</v>
      </c>
      <c r="C9" s="26" t="s">
        <v>55</v>
      </c>
      <c r="E9" s="26" t="s">
        <v>56</v>
      </c>
      <c r="F9" s="26" t="s">
        <v>57</v>
      </c>
      <c r="G9" s="26" t="s">
        <v>58</v>
      </c>
      <c r="H9" s="26" t="s">
        <v>59</v>
      </c>
      <c r="I9" s="26" t="s">
        <v>60</v>
      </c>
      <c r="J9" s="26" t="s">
        <v>61</v>
      </c>
      <c r="K9" s="26" t="s">
        <v>62</v>
      </c>
      <c r="L9" s="26" t="s">
        <v>63</v>
      </c>
    </row>
    <row r="10" customFormat="false" ht="23.85" hidden="false" customHeight="false" outlineLevel="0" collapsed="false">
      <c r="A10" s="23" t="s">
        <v>64</v>
      </c>
      <c r="C10" s="23" t="s">
        <v>65</v>
      </c>
      <c r="E10" s="27" t="s">
        <v>66</v>
      </c>
      <c r="F10" s="27" t="s">
        <v>67</v>
      </c>
      <c r="G10" s="27" t="s">
        <v>68</v>
      </c>
      <c r="H10" s="27" t="s">
        <v>69</v>
      </c>
      <c r="I10" s="27" t="s">
        <v>70</v>
      </c>
      <c r="J10" s="27" t="s">
        <v>71</v>
      </c>
      <c r="K10" s="27" t="s">
        <v>72</v>
      </c>
      <c r="L10" s="27" t="s">
        <v>73</v>
      </c>
    </row>
    <row r="11" customFormat="false" ht="15" hidden="false" customHeight="false" outlineLevel="0" collapsed="false">
      <c r="A11" s="23" t="s">
        <v>74</v>
      </c>
      <c r="C11" s="23" t="s">
        <v>75</v>
      </c>
      <c r="E11" s="27" t="s">
        <v>76</v>
      </c>
      <c r="F11" s="27" t="s">
        <v>77</v>
      </c>
      <c r="G11" s="27" t="s">
        <v>78</v>
      </c>
      <c r="H11" s="27" t="s">
        <v>79</v>
      </c>
      <c r="I11" s="27" t="s">
        <v>80</v>
      </c>
      <c r="J11" s="27" t="s">
        <v>81</v>
      </c>
      <c r="K11" s="27" t="s">
        <v>76</v>
      </c>
      <c r="L11" s="27" t="s">
        <v>82</v>
      </c>
    </row>
    <row r="12" customFormat="false" ht="15" hidden="false" customHeight="false" outlineLevel="0" collapsed="false">
      <c r="A12" s="23" t="s">
        <v>83</v>
      </c>
      <c r="C12" s="23" t="s">
        <v>84</v>
      </c>
      <c r="E12" s="27" t="s">
        <v>85</v>
      </c>
      <c r="F12" s="27" t="s">
        <v>86</v>
      </c>
      <c r="G12" s="27" t="s">
        <v>87</v>
      </c>
      <c r="H12" s="27" t="s">
        <v>88</v>
      </c>
      <c r="I12" s="27" t="s">
        <v>89</v>
      </c>
      <c r="J12" s="27" t="s">
        <v>90</v>
      </c>
      <c r="K12" s="27" t="s">
        <v>91</v>
      </c>
      <c r="L12" s="27" t="s">
        <v>92</v>
      </c>
    </row>
    <row r="13" customFormat="false" ht="15" hidden="false" customHeight="false" outlineLevel="0" collapsed="false">
      <c r="A13" s="23" t="s">
        <v>93</v>
      </c>
      <c r="C13" s="23"/>
      <c r="E13" s="27" t="s">
        <v>94</v>
      </c>
      <c r="G13" s="27" t="s">
        <v>95</v>
      </c>
      <c r="H13" s="27" t="s">
        <v>96</v>
      </c>
      <c r="I13" s="27" t="s">
        <v>97</v>
      </c>
      <c r="K13" s="27" t="s">
        <v>98</v>
      </c>
      <c r="L13" s="27" t="s">
        <v>99</v>
      </c>
    </row>
    <row r="14" customFormat="false" ht="15" hidden="false" customHeight="false" outlineLevel="0" collapsed="false">
      <c r="A14" s="23" t="s">
        <v>100</v>
      </c>
      <c r="C14" s="23"/>
      <c r="G14" s="27" t="s">
        <v>101</v>
      </c>
      <c r="H14" s="27" t="s">
        <v>102</v>
      </c>
      <c r="I14" s="27" t="s">
        <v>71</v>
      </c>
      <c r="L14" s="27" t="s">
        <v>103</v>
      </c>
    </row>
    <row r="15" customFormat="false" ht="15" hidden="false" customHeight="false" outlineLevel="0" collapsed="false">
      <c r="A15" s="23" t="s">
        <v>104</v>
      </c>
      <c r="C15" s="23"/>
      <c r="H15" s="27" t="s">
        <v>101</v>
      </c>
    </row>
    <row r="16" customFormat="false" ht="15" hidden="false" customHeight="false" outlineLevel="0" collapsed="false">
      <c r="A16" s="23" t="s">
        <v>105</v>
      </c>
      <c r="C16" s="23"/>
    </row>
    <row r="17" customFormat="false" ht="15" hidden="false" customHeight="false" outlineLevel="0" collapsed="false">
      <c r="A17" s="23" t="s">
        <v>106</v>
      </c>
      <c r="C17" s="23"/>
    </row>
    <row r="18" customFormat="false" ht="15" hidden="false" customHeight="false" outlineLevel="0" collapsed="false">
      <c r="A18" s="23"/>
      <c r="C18" s="23"/>
    </row>
    <row r="19" customFormat="false" ht="15" hidden="false" customHeight="false" outlineLevel="0" collapsed="false">
      <c r="A19" s="23"/>
      <c r="C19" s="23"/>
    </row>
    <row r="20" customFormat="false" ht="15" hidden="false" customHeight="false" outlineLevel="0" collapsed="false">
      <c r="A20" s="23"/>
    </row>
    <row r="21" customFormat="false" ht="15" hidden="false" customHeight="false" outlineLevel="0" collapsed="false">
      <c r="A21" s="23"/>
    </row>
    <row r="22" customFormat="false" ht="15" hidden="false" customHeight="false" outlineLevel="0" collapsed="false">
      <c r="A22" s="23"/>
    </row>
    <row r="23" customFormat="false" ht="15" hidden="false" customHeight="false" outlineLevel="0" collapsed="false">
      <c r="A23" s="23"/>
    </row>
    <row r="24" customFormat="false" ht="15" hidden="false" customHeight="false" outlineLevel="0" collapsed="false">
      <c r="A24" s="23"/>
    </row>
    <row r="26" customFormat="false" ht="15" hidden="false" customHeight="false" outlineLevel="0" collapsed="false">
      <c r="A26" s="28" t="s">
        <v>107</v>
      </c>
    </row>
    <row r="28" customFormat="false" ht="15" hidden="false" customHeight="false" outlineLevel="0" collapsed="false">
      <c r="A28" s="29" t="s">
        <v>108</v>
      </c>
    </row>
    <row r="29" customFormat="false" ht="15" hidden="false" customHeight="false" outlineLevel="0" collapsed="false">
      <c r="A29" s="14" t="s">
        <v>109</v>
      </c>
    </row>
    <row r="30" customFormat="false" ht="15" hidden="false" customHeight="false" outlineLevel="0" collapsed="false">
      <c r="A30" s="14" t="s">
        <v>110</v>
      </c>
    </row>
    <row r="31" customFormat="false" ht="15" hidden="false" customHeight="false" outlineLevel="0" collapsed="false">
      <c r="A31" s="14" t="s">
        <v>111</v>
      </c>
    </row>
    <row r="32" customFormat="false" ht="15" hidden="false" customHeight="false" outlineLevel="0" collapsed="false">
      <c r="A32" s="14" t="s">
        <v>112</v>
      </c>
    </row>
  </sheetData>
  <mergeCells count="3">
    <mergeCell ref="A1:L1"/>
    <mergeCell ref="A2:L2"/>
    <mergeCell ref="C4:H4"/>
  </mergeCell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B5"/>
    <pageSetUpPr fitToPage="true"/>
  </sheetPr>
  <dimension ref="A1:F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7"/>
    <col collapsed="false" customWidth="true" hidden="false" outlineLevel="0" max="3" min="3" style="0" width="62"/>
    <col collapsed="false" customWidth="true" hidden="false" outlineLevel="0" max="4" min="4" style="0" width="52"/>
    <col collapsed="false" customWidth="true" hidden="false" outlineLevel="0" max="5" min="5" style="0" width="48"/>
    <col collapsed="false" customWidth="true" hidden="false" outlineLevel="0" max="6" min="6" style="0" width="42"/>
  </cols>
  <sheetData>
    <row r="1" customFormat="false" ht="30" hidden="false" customHeight="true" outlineLevel="0" collapsed="false">
      <c r="A1" s="21" t="s">
        <v>113</v>
      </c>
      <c r="B1" s="21"/>
      <c r="C1" s="21"/>
      <c r="D1" s="21"/>
      <c r="E1" s="21"/>
      <c r="F1" s="21"/>
    </row>
    <row r="2" customFormat="false" ht="30" hidden="false" customHeight="true" outlineLevel="0" collapsed="false">
      <c r="A2" s="22" t="s">
        <v>114</v>
      </c>
      <c r="B2" s="22"/>
      <c r="C2" s="22"/>
      <c r="D2" s="22"/>
      <c r="E2" s="22"/>
      <c r="F2" s="22"/>
    </row>
    <row r="4" customFormat="false" ht="15" hidden="false" customHeight="false" outlineLevel="0" collapsed="false">
      <c r="A4" s="29" t="s">
        <v>115</v>
      </c>
    </row>
    <row r="5" customFormat="false" ht="15" hidden="false" customHeight="true" outlineLevel="0" collapsed="false">
      <c r="A5" s="30" t="s">
        <v>116</v>
      </c>
      <c r="B5" s="31" t="s">
        <v>117</v>
      </c>
      <c r="C5" s="32" t="s">
        <v>118</v>
      </c>
      <c r="D5" s="32"/>
      <c r="E5" s="32"/>
      <c r="F5" s="32"/>
    </row>
    <row r="6" customFormat="false" ht="15" hidden="false" customHeight="true" outlineLevel="0" collapsed="false">
      <c r="A6" s="33" t="s">
        <v>119</v>
      </c>
      <c r="B6" s="31" t="s">
        <v>120</v>
      </c>
      <c r="C6" s="32" t="s">
        <v>121</v>
      </c>
      <c r="D6" s="32"/>
      <c r="E6" s="32"/>
      <c r="F6" s="32"/>
    </row>
    <row r="7" customFormat="false" ht="15" hidden="false" customHeight="true" outlineLevel="0" collapsed="false">
      <c r="A7" s="34" t="s">
        <v>122</v>
      </c>
      <c r="B7" s="31" t="s">
        <v>123</v>
      </c>
      <c r="C7" s="32" t="s">
        <v>124</v>
      </c>
      <c r="D7" s="32"/>
      <c r="E7" s="32"/>
      <c r="F7" s="32"/>
    </row>
    <row r="8" customFormat="false" ht="15" hidden="false" customHeight="true" outlineLevel="0" collapsed="false">
      <c r="A8" s="35" t="s">
        <v>125</v>
      </c>
      <c r="B8" s="31" t="s">
        <v>126</v>
      </c>
      <c r="C8" s="32" t="s">
        <v>127</v>
      </c>
      <c r="D8" s="32"/>
      <c r="E8" s="32"/>
      <c r="F8" s="32"/>
    </row>
    <row r="9" customFormat="false" ht="15" hidden="false" customHeight="true" outlineLevel="0" collapsed="false">
      <c r="A9" s="36" t="s">
        <v>128</v>
      </c>
      <c r="B9" s="31" t="s">
        <v>129</v>
      </c>
      <c r="C9" s="32" t="s">
        <v>130</v>
      </c>
      <c r="D9" s="32"/>
      <c r="E9" s="32"/>
      <c r="F9" s="32"/>
    </row>
    <row r="10" customFormat="false" ht="15" hidden="false" customHeight="true" outlineLevel="0" collapsed="false">
      <c r="A10" s="37" t="s">
        <v>131</v>
      </c>
      <c r="B10" s="31" t="s">
        <v>98</v>
      </c>
      <c r="C10" s="32" t="s">
        <v>132</v>
      </c>
      <c r="D10" s="32"/>
      <c r="E10" s="32"/>
      <c r="F10" s="32"/>
    </row>
    <row r="12" customFormat="false" ht="15" hidden="false" customHeight="false" outlineLevel="0" collapsed="false">
      <c r="A12" s="26" t="s">
        <v>133</v>
      </c>
      <c r="B12" s="26" t="s">
        <v>134</v>
      </c>
      <c r="C12" s="26" t="s">
        <v>135</v>
      </c>
      <c r="D12" s="26" t="s">
        <v>136</v>
      </c>
      <c r="E12" s="26" t="s">
        <v>137</v>
      </c>
      <c r="F12" s="26" t="s">
        <v>138</v>
      </c>
    </row>
    <row r="13" customFormat="false" ht="57.75" hidden="false" customHeight="true" outlineLevel="0" collapsed="false">
      <c r="A13" s="36" t="s">
        <v>139</v>
      </c>
      <c r="B13" s="38" t="s">
        <v>73</v>
      </c>
      <c r="C13" s="23" t="s">
        <v>140</v>
      </c>
      <c r="D13" s="23" t="s">
        <v>141</v>
      </c>
      <c r="E13" s="23" t="s">
        <v>142</v>
      </c>
      <c r="F13" s="23" t="s">
        <v>143</v>
      </c>
    </row>
    <row r="14" customFormat="false" ht="57.75" hidden="false" customHeight="true" outlineLevel="0" collapsed="false">
      <c r="A14" s="36" t="s">
        <v>144</v>
      </c>
      <c r="B14" s="38" t="s">
        <v>73</v>
      </c>
      <c r="C14" s="23" t="s">
        <v>145</v>
      </c>
      <c r="D14" s="23" t="s">
        <v>146</v>
      </c>
      <c r="E14" s="23" t="s">
        <v>147</v>
      </c>
      <c r="F14" s="23" t="s">
        <v>148</v>
      </c>
    </row>
    <row r="15" customFormat="false" ht="57.75" hidden="false" customHeight="true" outlineLevel="0" collapsed="false">
      <c r="A15" s="36" t="s">
        <v>149</v>
      </c>
      <c r="B15" s="38" t="s">
        <v>73</v>
      </c>
      <c r="C15" s="23" t="s">
        <v>150</v>
      </c>
      <c r="D15" s="23" t="s">
        <v>151</v>
      </c>
      <c r="E15" s="23" t="s">
        <v>152</v>
      </c>
      <c r="F15" s="23" t="s">
        <v>153</v>
      </c>
    </row>
    <row r="16" customFormat="false" ht="57.75" hidden="false" customHeight="true" outlineLevel="0" collapsed="false">
      <c r="A16" s="36" t="s">
        <v>154</v>
      </c>
      <c r="B16" s="38" t="s">
        <v>73</v>
      </c>
      <c r="C16" s="23" t="s">
        <v>155</v>
      </c>
      <c r="D16" s="23" t="s">
        <v>156</v>
      </c>
      <c r="E16" s="23" t="s">
        <v>157</v>
      </c>
      <c r="F16" s="23" t="s">
        <v>158</v>
      </c>
    </row>
    <row r="17" customFormat="false" ht="57.75" hidden="false" customHeight="true" outlineLevel="0" collapsed="false">
      <c r="A17" s="36" t="s">
        <v>159</v>
      </c>
      <c r="B17" s="38" t="s">
        <v>73</v>
      </c>
      <c r="C17" s="23" t="s">
        <v>160</v>
      </c>
      <c r="D17" s="23" t="s">
        <v>161</v>
      </c>
      <c r="E17" s="23" t="s">
        <v>162</v>
      </c>
      <c r="F17" s="23" t="s">
        <v>163</v>
      </c>
    </row>
    <row r="18" customFormat="false" ht="57.75" hidden="false" customHeight="true" outlineLevel="0" collapsed="false">
      <c r="A18" s="36" t="s">
        <v>164</v>
      </c>
      <c r="B18" s="38" t="s">
        <v>73</v>
      </c>
      <c r="C18" s="23" t="s">
        <v>165</v>
      </c>
      <c r="D18" s="23" t="s">
        <v>166</v>
      </c>
      <c r="E18" s="23" t="s">
        <v>167</v>
      </c>
      <c r="F18" s="23" t="s">
        <v>168</v>
      </c>
    </row>
    <row r="19" customFormat="false" ht="57.75" hidden="false" customHeight="true" outlineLevel="0" collapsed="false">
      <c r="A19" s="36" t="s">
        <v>169</v>
      </c>
      <c r="B19" s="38" t="s">
        <v>73</v>
      </c>
      <c r="C19" s="23" t="s">
        <v>170</v>
      </c>
      <c r="D19" s="23" t="s">
        <v>171</v>
      </c>
      <c r="E19" s="23" t="s">
        <v>172</v>
      </c>
      <c r="F19" s="23" t="s">
        <v>173</v>
      </c>
    </row>
    <row r="20" customFormat="false" ht="57.75" hidden="false" customHeight="true" outlineLevel="0" collapsed="false">
      <c r="A20" s="36" t="s">
        <v>174</v>
      </c>
      <c r="B20" s="38" t="s">
        <v>73</v>
      </c>
      <c r="C20" s="23" t="s">
        <v>175</v>
      </c>
      <c r="D20" s="23" t="s">
        <v>176</v>
      </c>
      <c r="E20" s="23" t="s">
        <v>177</v>
      </c>
      <c r="F20" s="23" t="s">
        <v>178</v>
      </c>
    </row>
    <row r="21" customFormat="false" ht="57.75" hidden="false" customHeight="true" outlineLevel="0" collapsed="false">
      <c r="A21" s="39" t="s">
        <v>179</v>
      </c>
      <c r="B21" s="40" t="s">
        <v>82</v>
      </c>
      <c r="C21" s="23" t="s">
        <v>180</v>
      </c>
      <c r="D21" s="23" t="s">
        <v>181</v>
      </c>
      <c r="E21" s="23" t="s">
        <v>182</v>
      </c>
      <c r="F21" s="23" t="s">
        <v>183</v>
      </c>
    </row>
    <row r="22" customFormat="false" ht="57.75" hidden="false" customHeight="true" outlineLevel="0" collapsed="false">
      <c r="A22" s="39" t="s">
        <v>184</v>
      </c>
      <c r="B22" s="40" t="s">
        <v>82</v>
      </c>
      <c r="C22" s="23" t="s">
        <v>185</v>
      </c>
      <c r="D22" s="23" t="s">
        <v>186</v>
      </c>
      <c r="E22" s="23" t="s">
        <v>187</v>
      </c>
      <c r="F22" s="23" t="s">
        <v>188</v>
      </c>
    </row>
    <row r="23" customFormat="false" ht="57.75" hidden="false" customHeight="true" outlineLevel="0" collapsed="false">
      <c r="A23" s="39" t="s">
        <v>189</v>
      </c>
      <c r="B23" s="40" t="s">
        <v>82</v>
      </c>
      <c r="C23" s="23" t="s">
        <v>190</v>
      </c>
      <c r="D23" s="23" t="s">
        <v>191</v>
      </c>
      <c r="E23" s="23" t="s">
        <v>192</v>
      </c>
      <c r="F23" s="23" t="s">
        <v>193</v>
      </c>
    </row>
    <row r="24" customFormat="false" ht="57.75" hidden="false" customHeight="true" outlineLevel="0" collapsed="false">
      <c r="A24" s="39" t="s">
        <v>194</v>
      </c>
      <c r="B24" s="40" t="s">
        <v>82</v>
      </c>
      <c r="C24" s="23" t="s">
        <v>195</v>
      </c>
      <c r="D24" s="23" t="s">
        <v>196</v>
      </c>
      <c r="E24" s="23" t="s">
        <v>197</v>
      </c>
      <c r="F24" s="23" t="s">
        <v>198</v>
      </c>
    </row>
    <row r="25" customFormat="false" ht="57.75" hidden="false" customHeight="true" outlineLevel="0" collapsed="false">
      <c r="A25" s="39" t="s">
        <v>199</v>
      </c>
      <c r="B25" s="40" t="s">
        <v>82</v>
      </c>
      <c r="C25" s="23" t="s">
        <v>200</v>
      </c>
      <c r="D25" s="23" t="s">
        <v>201</v>
      </c>
      <c r="E25" s="23" t="s">
        <v>202</v>
      </c>
      <c r="F25" s="23" t="s">
        <v>203</v>
      </c>
    </row>
    <row r="26" customFormat="false" ht="57.75" hidden="false" customHeight="true" outlineLevel="0" collapsed="false">
      <c r="A26" s="39" t="s">
        <v>204</v>
      </c>
      <c r="B26" s="40" t="s">
        <v>82</v>
      </c>
      <c r="C26" s="23" t="s">
        <v>205</v>
      </c>
      <c r="D26" s="23" t="s">
        <v>206</v>
      </c>
      <c r="E26" s="23" t="s">
        <v>207</v>
      </c>
      <c r="F26" s="23" t="s">
        <v>208</v>
      </c>
    </row>
    <row r="27" customFormat="false" ht="57.75" hidden="false" customHeight="true" outlineLevel="0" collapsed="false">
      <c r="A27" s="39" t="s">
        <v>209</v>
      </c>
      <c r="B27" s="40" t="s">
        <v>82</v>
      </c>
      <c r="C27" s="23" t="s">
        <v>210</v>
      </c>
      <c r="D27" s="23" t="s">
        <v>211</v>
      </c>
      <c r="E27" s="23" t="s">
        <v>212</v>
      </c>
      <c r="F27" s="23" t="s">
        <v>213</v>
      </c>
    </row>
    <row r="28" customFormat="false" ht="57.75" hidden="false" customHeight="true" outlineLevel="0" collapsed="false">
      <c r="A28" s="39" t="s">
        <v>214</v>
      </c>
      <c r="B28" s="40" t="s">
        <v>82</v>
      </c>
      <c r="C28" s="23" t="s">
        <v>215</v>
      </c>
      <c r="D28" s="23" t="s">
        <v>216</v>
      </c>
      <c r="E28" s="23" t="s">
        <v>217</v>
      </c>
      <c r="F28" s="23" t="s">
        <v>218</v>
      </c>
    </row>
    <row r="29" customFormat="false" ht="57.75" hidden="false" customHeight="true" outlineLevel="0" collapsed="false">
      <c r="A29" s="30" t="s">
        <v>219</v>
      </c>
      <c r="B29" s="41" t="s">
        <v>92</v>
      </c>
      <c r="C29" s="23" t="s">
        <v>220</v>
      </c>
      <c r="D29" s="23" t="s">
        <v>221</v>
      </c>
      <c r="E29" s="23" t="s">
        <v>222</v>
      </c>
      <c r="F29" s="23" t="s">
        <v>223</v>
      </c>
    </row>
    <row r="30" customFormat="false" ht="57.75" hidden="false" customHeight="true" outlineLevel="0" collapsed="false">
      <c r="A30" s="30" t="s">
        <v>224</v>
      </c>
      <c r="B30" s="41" t="s">
        <v>92</v>
      </c>
      <c r="C30" s="23" t="s">
        <v>225</v>
      </c>
      <c r="D30" s="23" t="s">
        <v>226</v>
      </c>
      <c r="E30" s="23" t="s">
        <v>227</v>
      </c>
      <c r="F30" s="23" t="s">
        <v>228</v>
      </c>
    </row>
    <row r="31" customFormat="false" ht="57.75" hidden="false" customHeight="true" outlineLevel="0" collapsed="false">
      <c r="A31" s="30" t="s">
        <v>229</v>
      </c>
      <c r="B31" s="41" t="s">
        <v>92</v>
      </c>
      <c r="C31" s="23" t="s">
        <v>230</v>
      </c>
      <c r="D31" s="23" t="s">
        <v>231</v>
      </c>
      <c r="E31" s="23" t="s">
        <v>232</v>
      </c>
      <c r="F31" s="23" t="s">
        <v>233</v>
      </c>
    </row>
    <row r="32" customFormat="false" ht="57.75" hidden="false" customHeight="true" outlineLevel="0" collapsed="false">
      <c r="A32" s="30" t="s">
        <v>234</v>
      </c>
      <c r="B32" s="41" t="s">
        <v>92</v>
      </c>
      <c r="C32" s="23" t="s">
        <v>235</v>
      </c>
      <c r="D32" s="23" t="s">
        <v>236</v>
      </c>
      <c r="E32" s="23" t="s">
        <v>237</v>
      </c>
      <c r="F32" s="23" t="s">
        <v>238</v>
      </c>
    </row>
    <row r="33" customFormat="false" ht="57.75" hidden="false" customHeight="true" outlineLevel="0" collapsed="false">
      <c r="A33" s="30" t="s">
        <v>239</v>
      </c>
      <c r="B33" s="41" t="s">
        <v>92</v>
      </c>
      <c r="C33" s="23" t="s">
        <v>240</v>
      </c>
      <c r="D33" s="23" t="s">
        <v>241</v>
      </c>
      <c r="E33" s="23" t="s">
        <v>242</v>
      </c>
      <c r="F33" s="23" t="s">
        <v>243</v>
      </c>
    </row>
    <row r="34" customFormat="false" ht="57.75" hidden="false" customHeight="true" outlineLevel="0" collapsed="false">
      <c r="A34" s="30" t="s">
        <v>244</v>
      </c>
      <c r="B34" s="41" t="s">
        <v>92</v>
      </c>
      <c r="C34" s="23" t="s">
        <v>245</v>
      </c>
      <c r="D34" s="23" t="s">
        <v>246</v>
      </c>
      <c r="E34" s="23" t="s">
        <v>247</v>
      </c>
      <c r="F34" s="23" t="s">
        <v>248</v>
      </c>
    </row>
    <row r="35" customFormat="false" ht="57.75" hidden="false" customHeight="true" outlineLevel="0" collapsed="false">
      <c r="A35" s="30" t="s">
        <v>249</v>
      </c>
      <c r="B35" s="41" t="s">
        <v>92</v>
      </c>
      <c r="C35" s="23" t="s">
        <v>250</v>
      </c>
      <c r="D35" s="23" t="s">
        <v>251</v>
      </c>
      <c r="E35" s="23" t="s">
        <v>252</v>
      </c>
      <c r="F35" s="23" t="s">
        <v>253</v>
      </c>
    </row>
    <row r="36" customFormat="false" ht="57.75" hidden="false" customHeight="true" outlineLevel="0" collapsed="false">
      <c r="A36" s="30" t="s">
        <v>254</v>
      </c>
      <c r="B36" s="41" t="s">
        <v>92</v>
      </c>
      <c r="C36" s="23" t="s">
        <v>255</v>
      </c>
      <c r="D36" s="23" t="s">
        <v>256</v>
      </c>
      <c r="E36" s="23" t="s">
        <v>257</v>
      </c>
      <c r="F36" s="23" t="s">
        <v>258</v>
      </c>
    </row>
    <row r="37" customFormat="false" ht="57.75" hidden="false" customHeight="true" outlineLevel="0" collapsed="false">
      <c r="A37" s="42" t="s">
        <v>259</v>
      </c>
      <c r="B37" s="43" t="s">
        <v>99</v>
      </c>
      <c r="C37" s="23" t="s">
        <v>260</v>
      </c>
      <c r="D37" s="23" t="s">
        <v>261</v>
      </c>
      <c r="E37" s="23" t="s">
        <v>262</v>
      </c>
      <c r="F37" s="23" t="s">
        <v>263</v>
      </c>
    </row>
    <row r="38" customFormat="false" ht="57.75" hidden="false" customHeight="true" outlineLevel="0" collapsed="false">
      <c r="A38" s="42" t="s">
        <v>264</v>
      </c>
      <c r="B38" s="43" t="s">
        <v>99</v>
      </c>
      <c r="C38" s="23" t="s">
        <v>265</v>
      </c>
      <c r="D38" s="23" t="s">
        <v>266</v>
      </c>
      <c r="E38" s="23" t="s">
        <v>267</v>
      </c>
      <c r="F38" s="23" t="s">
        <v>268</v>
      </c>
    </row>
    <row r="39" customFormat="false" ht="57.75" hidden="false" customHeight="true" outlineLevel="0" collapsed="false">
      <c r="A39" s="42" t="s">
        <v>269</v>
      </c>
      <c r="B39" s="43" t="s">
        <v>99</v>
      </c>
      <c r="C39" s="23" t="s">
        <v>270</v>
      </c>
      <c r="D39" s="23" t="s">
        <v>271</v>
      </c>
      <c r="E39" s="23" t="s">
        <v>272</v>
      </c>
      <c r="F39" s="23" t="s">
        <v>273</v>
      </c>
    </row>
    <row r="40" customFormat="false" ht="57.75" hidden="false" customHeight="true" outlineLevel="0" collapsed="false">
      <c r="A40" s="42" t="s">
        <v>274</v>
      </c>
      <c r="B40" s="43" t="s">
        <v>99</v>
      </c>
      <c r="C40" s="23" t="s">
        <v>275</v>
      </c>
      <c r="D40" s="23" t="s">
        <v>276</v>
      </c>
      <c r="E40" s="23" t="s">
        <v>277</v>
      </c>
      <c r="F40" s="23" t="s">
        <v>278</v>
      </c>
    </row>
    <row r="41" customFormat="false" ht="57.75" hidden="false" customHeight="true" outlineLevel="0" collapsed="false">
      <c r="A41" s="42" t="s">
        <v>279</v>
      </c>
      <c r="B41" s="43" t="s">
        <v>99</v>
      </c>
      <c r="C41" s="23" t="s">
        <v>280</v>
      </c>
      <c r="D41" s="23" t="s">
        <v>281</v>
      </c>
      <c r="E41" s="23" t="s">
        <v>282</v>
      </c>
      <c r="F41" s="23" t="s">
        <v>283</v>
      </c>
    </row>
    <row r="42" customFormat="false" ht="57.75" hidden="false" customHeight="true" outlineLevel="0" collapsed="false">
      <c r="A42" s="42" t="s">
        <v>284</v>
      </c>
      <c r="B42" s="43" t="s">
        <v>99</v>
      </c>
      <c r="C42" s="23" t="s">
        <v>285</v>
      </c>
      <c r="D42" s="23" t="s">
        <v>286</v>
      </c>
      <c r="E42" s="23" t="s">
        <v>287</v>
      </c>
      <c r="F42" s="23" t="s">
        <v>288</v>
      </c>
    </row>
    <row r="43" customFormat="false" ht="57.75" hidden="false" customHeight="true" outlineLevel="0" collapsed="false">
      <c r="A43" s="42" t="s">
        <v>289</v>
      </c>
      <c r="B43" s="43" t="s">
        <v>99</v>
      </c>
      <c r="C43" s="23" t="s">
        <v>290</v>
      </c>
      <c r="D43" s="23" t="s">
        <v>291</v>
      </c>
      <c r="E43" s="23" t="s">
        <v>292</v>
      </c>
      <c r="F43" s="23" t="s">
        <v>293</v>
      </c>
    </row>
    <row r="44" customFormat="false" ht="57.75" hidden="false" customHeight="true" outlineLevel="0" collapsed="false">
      <c r="A44" s="42" t="s">
        <v>294</v>
      </c>
      <c r="B44" s="43" t="s">
        <v>99</v>
      </c>
      <c r="C44" s="23" t="s">
        <v>295</v>
      </c>
      <c r="D44" s="23" t="s">
        <v>296</v>
      </c>
      <c r="E44" s="23" t="s">
        <v>297</v>
      </c>
      <c r="F44" s="23" t="s">
        <v>298</v>
      </c>
    </row>
    <row r="45" customFormat="false" ht="57.75" hidden="false" customHeight="true" outlineLevel="0" collapsed="false">
      <c r="A45" s="44" t="s">
        <v>299</v>
      </c>
      <c r="B45" s="45" t="s">
        <v>103</v>
      </c>
      <c r="C45" s="23" t="s">
        <v>300</v>
      </c>
      <c r="D45" s="23" t="s">
        <v>301</v>
      </c>
      <c r="E45" s="23" t="s">
        <v>302</v>
      </c>
      <c r="F45" s="23" t="s">
        <v>303</v>
      </c>
    </row>
    <row r="46" customFormat="false" ht="57.75" hidden="false" customHeight="true" outlineLevel="0" collapsed="false">
      <c r="A46" s="44" t="s">
        <v>304</v>
      </c>
      <c r="B46" s="45" t="s">
        <v>103</v>
      </c>
      <c r="C46" s="23" t="s">
        <v>305</v>
      </c>
      <c r="D46" s="23" t="s">
        <v>306</v>
      </c>
      <c r="E46" s="23" t="s">
        <v>307</v>
      </c>
      <c r="F46" s="23" t="s">
        <v>308</v>
      </c>
    </row>
    <row r="47" customFormat="false" ht="57.75" hidden="false" customHeight="true" outlineLevel="0" collapsed="false">
      <c r="A47" s="44" t="s">
        <v>309</v>
      </c>
      <c r="B47" s="45" t="s">
        <v>103</v>
      </c>
      <c r="C47" s="23" t="s">
        <v>310</v>
      </c>
      <c r="D47" s="23" t="s">
        <v>311</v>
      </c>
      <c r="E47" s="23" t="s">
        <v>312</v>
      </c>
      <c r="F47" s="23" t="s">
        <v>313</v>
      </c>
    </row>
    <row r="48" customFormat="false" ht="57.75" hidden="false" customHeight="true" outlineLevel="0" collapsed="false">
      <c r="A48" s="44" t="s">
        <v>314</v>
      </c>
      <c r="B48" s="45" t="s">
        <v>103</v>
      </c>
      <c r="C48" s="23" t="s">
        <v>315</v>
      </c>
      <c r="D48" s="23" t="s">
        <v>316</v>
      </c>
      <c r="E48" s="23" t="s">
        <v>317</v>
      </c>
      <c r="F48" s="23" t="s">
        <v>318</v>
      </c>
    </row>
    <row r="49" customFormat="false" ht="57.75" hidden="false" customHeight="true" outlineLevel="0" collapsed="false">
      <c r="A49" s="44" t="s">
        <v>319</v>
      </c>
      <c r="B49" s="45" t="s">
        <v>103</v>
      </c>
      <c r="C49" s="23" t="s">
        <v>320</v>
      </c>
      <c r="D49" s="23" t="s">
        <v>321</v>
      </c>
      <c r="E49" s="23" t="s">
        <v>322</v>
      </c>
      <c r="F49" s="23" t="s">
        <v>323</v>
      </c>
    </row>
    <row r="50" customFormat="false" ht="57.75" hidden="false" customHeight="true" outlineLevel="0" collapsed="false">
      <c r="A50" s="44" t="s">
        <v>324</v>
      </c>
      <c r="B50" s="45" t="s">
        <v>103</v>
      </c>
      <c r="C50" s="23" t="s">
        <v>325</v>
      </c>
      <c r="D50" s="23" t="s">
        <v>326</v>
      </c>
      <c r="E50" s="23" t="s">
        <v>327</v>
      </c>
      <c r="F50" s="23" t="s">
        <v>328</v>
      </c>
    </row>
    <row r="51" customFormat="false" ht="57.75" hidden="false" customHeight="true" outlineLevel="0" collapsed="false">
      <c r="A51" s="44" t="s">
        <v>329</v>
      </c>
      <c r="B51" s="45" t="s">
        <v>103</v>
      </c>
      <c r="C51" s="23" t="s">
        <v>330</v>
      </c>
      <c r="D51" s="23" t="s">
        <v>331</v>
      </c>
      <c r="E51" s="23" t="s">
        <v>332</v>
      </c>
      <c r="F51" s="23" t="s">
        <v>333</v>
      </c>
    </row>
    <row r="52" customFormat="false" ht="57.75" hidden="false" customHeight="true" outlineLevel="0" collapsed="false">
      <c r="A52" s="44" t="s">
        <v>334</v>
      </c>
      <c r="B52" s="45" t="s">
        <v>103</v>
      </c>
      <c r="C52" s="23" t="s">
        <v>335</v>
      </c>
      <c r="D52" s="23" t="s">
        <v>336</v>
      </c>
      <c r="E52" s="23" t="s">
        <v>337</v>
      </c>
      <c r="F52" s="23" t="s">
        <v>338</v>
      </c>
    </row>
  </sheetData>
  <mergeCells count="8">
    <mergeCell ref="A1:F1"/>
    <mergeCell ref="A2:F2"/>
    <mergeCell ref="C5:F5"/>
    <mergeCell ref="C6:F6"/>
    <mergeCell ref="C7:F7"/>
    <mergeCell ref="C8:F8"/>
    <mergeCell ref="C9:F9"/>
    <mergeCell ref="C10:F10"/>
  </mergeCell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8"/>
    <pageSetUpPr fitToPage="true"/>
  </sheetPr>
  <dimension ref="A1:BJ6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0"/>
    <col collapsed="false" customWidth="true" hidden="false" outlineLevel="0" max="62" min="3" style="0" width="11.5"/>
  </cols>
  <sheetData>
    <row r="1" customFormat="false" ht="30" hidden="false" customHeight="true" outlineLevel="0" collapsed="false">
      <c r="A1" s="21" t="s">
        <v>339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customFormat="false" ht="27.75" hidden="false" customHeight="true" outlineLevel="0" collapsed="false">
      <c r="A2" s="22" t="s">
        <v>340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customFormat="false" ht="15" hidden="false" customHeight="false" outlineLevel="0" collapsed="false">
      <c r="A3" s="46" t="s">
        <v>341</v>
      </c>
      <c r="B3" s="46"/>
      <c r="C3" s="47" t="n">
        <v>1</v>
      </c>
      <c r="D3" s="47" t="n">
        <v>2</v>
      </c>
      <c r="E3" s="47" t="n">
        <v>3</v>
      </c>
      <c r="F3" s="47" t="n">
        <v>4</v>
      </c>
      <c r="G3" s="47" t="n">
        <v>5</v>
      </c>
      <c r="H3" s="47" t="n">
        <v>6</v>
      </c>
      <c r="I3" s="47" t="n">
        <v>7</v>
      </c>
      <c r="J3" s="47" t="n">
        <v>8</v>
      </c>
      <c r="K3" s="47" t="n">
        <v>9</v>
      </c>
      <c r="L3" s="47" t="n">
        <v>10</v>
      </c>
      <c r="M3" s="47" t="n">
        <v>11</v>
      </c>
      <c r="N3" s="47" t="n">
        <v>12</v>
      </c>
      <c r="O3" s="47" t="n">
        <v>13</v>
      </c>
      <c r="P3" s="47" t="n">
        <v>14</v>
      </c>
      <c r="Q3" s="47" t="n">
        <v>15</v>
      </c>
      <c r="R3" s="47" t="n">
        <v>16</v>
      </c>
      <c r="S3" s="47" t="n">
        <v>17</v>
      </c>
      <c r="T3" s="47" t="n">
        <v>18</v>
      </c>
      <c r="U3" s="47" t="n">
        <v>19</v>
      </c>
      <c r="V3" s="47" t="n">
        <v>20</v>
      </c>
      <c r="W3" s="47" t="n">
        <v>21</v>
      </c>
      <c r="X3" s="47" t="n">
        <v>22</v>
      </c>
      <c r="Y3" s="47" t="n">
        <v>23</v>
      </c>
      <c r="Z3" s="47" t="n">
        <v>24</v>
      </c>
      <c r="AA3" s="47" t="n">
        <v>25</v>
      </c>
      <c r="AB3" s="47" t="n">
        <v>26</v>
      </c>
      <c r="AC3" s="47" t="n">
        <v>27</v>
      </c>
      <c r="AD3" s="47" t="n">
        <v>28</v>
      </c>
      <c r="AE3" s="47" t="n">
        <v>29</v>
      </c>
      <c r="AF3" s="47" t="n">
        <v>30</v>
      </c>
      <c r="AG3" s="47" t="n">
        <v>31</v>
      </c>
      <c r="AH3" s="47" t="n">
        <v>32</v>
      </c>
      <c r="AI3" s="47" t="n">
        <v>33</v>
      </c>
      <c r="AJ3" s="47" t="n">
        <v>34</v>
      </c>
      <c r="AK3" s="47" t="n">
        <v>35</v>
      </c>
      <c r="AL3" s="47" t="n">
        <v>36</v>
      </c>
      <c r="AM3" s="47" t="n">
        <v>37</v>
      </c>
      <c r="AN3" s="47" t="n">
        <v>38</v>
      </c>
      <c r="AO3" s="47" t="n">
        <v>39</v>
      </c>
      <c r="AP3" s="47" t="n">
        <v>40</v>
      </c>
      <c r="AQ3" s="47" t="n">
        <v>41</v>
      </c>
      <c r="AR3" s="47" t="n">
        <v>42</v>
      </c>
      <c r="AS3" s="47" t="n">
        <v>43</v>
      </c>
      <c r="AT3" s="47" t="n">
        <v>44</v>
      </c>
      <c r="AU3" s="47" t="n">
        <v>45</v>
      </c>
      <c r="AV3" s="47" t="n">
        <v>46</v>
      </c>
      <c r="AW3" s="47" t="n">
        <v>47</v>
      </c>
      <c r="AX3" s="47" t="n">
        <v>48</v>
      </c>
      <c r="AY3" s="47" t="n">
        <v>49</v>
      </c>
      <c r="AZ3" s="47" t="n">
        <v>50</v>
      </c>
      <c r="BA3" s="47" t="n">
        <v>51</v>
      </c>
      <c r="BB3" s="47" t="n">
        <v>52</v>
      </c>
      <c r="BC3" s="47" t="n">
        <v>53</v>
      </c>
      <c r="BD3" s="47" t="n">
        <v>54</v>
      </c>
      <c r="BE3" s="47" t="n">
        <v>55</v>
      </c>
      <c r="BF3" s="47" t="n">
        <v>56</v>
      </c>
      <c r="BG3" s="47" t="n">
        <v>57</v>
      </c>
      <c r="BH3" s="47" t="n">
        <v>58</v>
      </c>
      <c r="BI3" s="47" t="n">
        <v>59</v>
      </c>
      <c r="BJ3" s="47" t="n">
        <v>60</v>
      </c>
    </row>
    <row r="4" customFormat="false" ht="15" hidden="false" customHeight="false" outlineLevel="0" collapsed="false">
      <c r="A4" s="46" t="s">
        <v>342</v>
      </c>
      <c r="B4" s="46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</row>
    <row r="5" customFormat="false" ht="39.75" hidden="false" customHeight="true" outlineLevel="0" collapsed="false">
      <c r="A5" s="46" t="s">
        <v>343</v>
      </c>
      <c r="B5" s="46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</row>
    <row r="6" customFormat="false" ht="39.75" hidden="false" customHeight="true" outlineLevel="0" collapsed="false">
      <c r="A6" s="46" t="s">
        <v>344</v>
      </c>
      <c r="B6" s="46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</row>
    <row r="7" customFormat="false" ht="15" hidden="false" customHeight="false" outlineLevel="0" collapsed="false">
      <c r="A7" s="50" t="s">
        <v>345</v>
      </c>
      <c r="B7" s="50"/>
    </row>
    <row r="8" customFormat="false" ht="21.75" hidden="false" customHeight="true" outlineLevel="0" collapsed="false">
      <c r="A8" s="51" t="s">
        <v>346</v>
      </c>
      <c r="B8" s="52" t="s">
        <v>347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</row>
    <row r="9" customFormat="false" ht="36" hidden="false" customHeight="true" outlineLevel="0" collapsed="false">
      <c r="A9" s="54" t="s">
        <v>139</v>
      </c>
      <c r="B9" s="55" t="str">
        <f aca="false">Lista_control!C13</f>
        <v>En el área no hay objetos innecesarios para el trabajo diario (herramientas, materiales, piezas, documentos).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</row>
    <row r="10" customFormat="false" ht="36" hidden="false" customHeight="true" outlineLevel="0" collapsed="false">
      <c r="A10" s="54" t="s">
        <v>144</v>
      </c>
      <c r="B10" s="55" t="str">
        <f aca="false">Lista_control!C14</f>
        <v>Los objetos sin responsable o de uso poco claro llevan una tarjeta roja con fecha límite de decisión.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</row>
    <row r="11" customFormat="false" ht="36" hidden="false" customHeight="true" outlineLevel="0" collapsed="false">
      <c r="A11" s="54" t="s">
        <v>149</v>
      </c>
      <c r="B11" s="55" t="str">
        <f aca="false">Lista_control!C15</f>
        <v>La zona de cuarentena (zona roja) está delimitada, rotulada y se vacía con regularidad.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</row>
    <row r="12" customFormat="false" ht="36" hidden="false" customHeight="true" outlineLevel="0" collapsed="false">
      <c r="A12" s="54" t="s">
        <v>154</v>
      </c>
      <c r="B12" s="55" t="str">
        <f aca="false">Lista_control!C16</f>
        <v>Los materiales, semielaborados y productos terminados están en las cantidades necesarias (según mín/máx).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</row>
    <row r="13" customFormat="false" ht="36" hidden="false" customHeight="true" outlineLevel="0" collapsed="false">
      <c r="A13" s="54" t="s">
        <v>159</v>
      </c>
      <c r="B13" s="55" t="str">
        <f aca="false">Lista_control!C17</f>
        <v>Las herramientas y equipos dañados, desgastados o averiados se han retirado del área o están claramente marcados.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</row>
    <row r="14" customFormat="false" ht="36" hidden="false" customHeight="true" outlineLevel="0" collapsed="false">
      <c r="A14" s="54" t="s">
        <v>164</v>
      </c>
      <c r="B14" s="55" t="str">
        <f aca="false">Lista_control!C18</f>
        <v>Los documentos e instrucciones en el puesto están actualizados y los obsoletos se han retirado.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</row>
    <row r="15" customFormat="false" ht="36" hidden="false" customHeight="true" outlineLevel="0" collapsed="false">
      <c r="A15" s="54" t="s">
        <v>169</v>
      </c>
      <c r="B15" s="55" t="str">
        <f aca="false">Lista_control!C19</f>
        <v>Los objetos personales y no productivos (ropa, bebidas, comida, teléfonos) están solo en los lugares designados.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</row>
    <row r="16" customFormat="false" ht="36" hidden="false" customHeight="true" outlineLevel="0" collapsed="false">
      <c r="A16" s="54" t="s">
        <v>174</v>
      </c>
      <c r="B16" s="55" t="str">
        <f aca="false">Lista_control!C20</f>
        <v>En armarios, cajones y debajo de las mesas no hay almacenes ocultos.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</row>
    <row r="17" customFormat="false" ht="21.75" hidden="false" customHeight="true" outlineLevel="0" collapsed="false">
      <c r="A17" s="57" t="s">
        <v>348</v>
      </c>
      <c r="B17" s="58" t="s">
        <v>349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</row>
    <row r="18" customFormat="false" ht="36" hidden="false" customHeight="true" outlineLevel="0" collapsed="false">
      <c r="A18" s="60" t="s">
        <v>179</v>
      </c>
      <c r="B18" s="55" t="str">
        <f aca="false">Lista_control!C21</f>
        <v>Cada objeto tiene un lugar fijo y señalizado (contorno, silueta de la herramienta, etiqueta o dirección de ubicación).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</row>
    <row r="19" customFormat="false" ht="36" hidden="false" customHeight="true" outlineLevel="0" collapsed="false">
      <c r="A19" s="60" t="s">
        <v>184</v>
      </c>
      <c r="B19" s="55" t="str">
        <f aca="false">Lista_control!C22</f>
        <v>La disposición responde a la frecuencia de uso: lo más frecuente al alcance de la mano, lo menos frecuente más lejos.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</row>
    <row r="20" customFormat="false" ht="36" hidden="false" customHeight="true" outlineLevel="0" collapsed="false">
      <c r="A20" s="60" t="s">
        <v>189</v>
      </c>
      <c r="B20" s="55" t="str">
        <f aca="false">Lista_control!C23</f>
        <v>Los lugares de almacenamiento tienen marcados el nivel mínimo y el máximo.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</row>
    <row r="21" customFormat="false" ht="36" hidden="false" customHeight="true" outlineLevel="0" collapsed="false">
      <c r="A21" s="60" t="s">
        <v>194</v>
      </c>
      <c r="B21" s="55" t="str">
        <f aca="false">Lista_control!C24</f>
        <v>El marcado del suelo (zonas, pasillos, ubicación de palés) es legible, y los equipos contra incendios y las salidas de emergencia están accesibles.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</row>
    <row r="22" customFormat="false" ht="36" hidden="false" customHeight="true" outlineLevel="0" collapsed="false">
      <c r="A22" s="60" t="s">
        <v>199</v>
      </c>
      <c r="B22" s="55" t="str">
        <f aca="false">Lista_control!C25</f>
        <v>Estanterías, armarios y contenedores están claramente rotulados (etiquetas comprensibles para una persona nueva).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</row>
    <row r="23" customFormat="false" ht="36" hidden="false" customHeight="true" outlineLevel="0" collapsed="false">
      <c r="A23" s="60" t="s">
        <v>204</v>
      </c>
      <c r="B23" s="55" t="str">
        <f aca="false">Lista_control!C26</f>
        <v>Un objeto que falta o está fuera de su sitio se ve al instante (control visual en menos de 30 segundos).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</row>
    <row r="24" customFormat="false" ht="36" hidden="false" customHeight="true" outlineLevel="0" collapsed="false">
      <c r="A24" s="60" t="s">
        <v>209</v>
      </c>
      <c r="B24" s="55" t="str">
        <f aca="false">Lista_control!C27</f>
        <v>Los cables, mangueras y conductos están ordenados y no dificultan el trabajo ni crean riesgo de tropiezo.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</row>
    <row r="25" customFormat="false" ht="36" hidden="false" customHeight="true" outlineLevel="0" collapsed="false">
      <c r="A25" s="60" t="s">
        <v>214</v>
      </c>
      <c r="B25" s="55" t="str">
        <f aca="false">Lista_control!C28</f>
        <v>Los contenedores de residuos y los residuos clasificados tienen un lugar fijo y señalizado.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</row>
    <row r="26" customFormat="false" ht="21.75" hidden="false" customHeight="true" outlineLevel="0" collapsed="false">
      <c r="A26" s="61" t="s">
        <v>350</v>
      </c>
      <c r="B26" s="62" t="s">
        <v>351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</row>
    <row r="27" customFormat="false" ht="36" hidden="false" customHeight="true" outlineLevel="0" collapsed="false">
      <c r="A27" s="64" t="s">
        <v>219</v>
      </c>
      <c r="B27" s="55" t="str">
        <f aca="false">Lista_control!C29</f>
        <v>Suelos, encimeras y máquinas están limpios (sin polvo, virutas, aceite ni restos de material).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</row>
    <row r="28" customFormat="false" ht="36" hidden="false" customHeight="true" outlineLevel="0" collapsed="false">
      <c r="A28" s="64" t="s">
        <v>224</v>
      </c>
      <c r="B28" s="55" t="str">
        <f aca="false">Lista_control!C30</f>
        <v>El plan de limpieza define con claridad: qué, quién, con qué frecuencia y con qué se limpia.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</row>
    <row r="29" customFormat="false" ht="36" hidden="false" customHeight="true" outlineLevel="0" collapsed="false">
      <c r="A29" s="64" t="s">
        <v>229</v>
      </c>
      <c r="B29" s="55" t="str">
        <f aca="false">Lista_control!C31</f>
        <v>Las herramientas y productos de limpieza están disponibles en el lugar, completos y en buen estado.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</row>
    <row r="30" customFormat="false" ht="36" hidden="false" customHeight="true" outlineLevel="0" collapsed="false">
      <c r="A30" s="64" t="s">
        <v>234</v>
      </c>
      <c r="B30" s="55" t="str">
        <f aca="false">Lista_control!C32</f>
        <v>La limpieza va unida a la inspección: fugas, holguras, falta de estanqueidad y daños se notifican.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</row>
    <row r="31" customFormat="false" ht="36" hidden="false" customHeight="true" outlineLevel="0" collapsed="false">
      <c r="A31" s="64" t="s">
        <v>239</v>
      </c>
      <c r="B31" s="55" t="str">
        <f aca="false">Lista_control!C33</f>
        <v>Las fuentes de suciedad (fugas, polvo, residuos de proceso) están identificadas y se eliminan en origen.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</row>
    <row r="32" customFormat="false" ht="36" hidden="false" customHeight="true" outlineLevel="0" collapsed="false">
      <c r="A32" s="64" t="s">
        <v>244</v>
      </c>
      <c r="B32" s="55" t="str">
        <f aca="false">Lista_control!C34</f>
        <v>La iluminación funciona y está limpia; las protecciones, cristales y paneles informativos son legibles.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</row>
    <row r="33" customFormat="false" ht="36" hidden="false" customHeight="true" outlineLevel="0" collapsed="false">
      <c r="A33" s="64" t="s">
        <v>249</v>
      </c>
      <c r="B33" s="55" t="str">
        <f aca="false">Lista_control!C35</f>
        <v>Los contenedores de residuos no están rebosando y se vacían según el calendario.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</row>
    <row r="34" customFormat="false" ht="36" hidden="false" customHeight="true" outlineLevel="0" collapsed="false">
      <c r="A34" s="64" t="s">
        <v>254</v>
      </c>
      <c r="B34" s="55" t="str">
        <f aca="false">Lista_control!C36</f>
        <v>Las zonas de aceites y productos químicos son estancas y están limpias; hay bandejas de retención y absorbentes disponibles.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</row>
    <row r="35" customFormat="false" ht="21.75" hidden="false" customHeight="true" outlineLevel="0" collapsed="false">
      <c r="A35" s="65" t="s">
        <v>352</v>
      </c>
      <c r="B35" s="66" t="s">
        <v>353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</row>
    <row r="36" customFormat="false" ht="36" hidden="false" customHeight="true" outlineLevel="0" collapsed="false">
      <c r="A36" s="68" t="s">
        <v>259</v>
      </c>
      <c r="B36" s="55" t="str">
        <f aca="false">Lista_control!C37</f>
        <v>El estándar de aspecto del área (fotos del estado objetivo) está disponible en el área y actualizado.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</row>
    <row r="37" customFormat="false" ht="36" hidden="false" customHeight="true" outlineLevel="0" collapsed="false">
      <c r="A37" s="68" t="s">
        <v>264</v>
      </c>
      <c r="B37" s="55" t="str">
        <f aca="false">Lista_control!C38</f>
        <v>Las reglas de marcado (colores, etiquetas, símbolos) son uniformes en el área y coherentes con las normas de la planta.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</row>
    <row r="38" customFormat="false" ht="36" hidden="false" customHeight="true" outlineLevel="0" collapsed="false">
      <c r="A38" s="68" t="s">
        <v>269</v>
      </c>
      <c r="B38" s="55" t="str">
        <f aca="false">Lista_control!C39</f>
        <v>Los roles y responsabilidades están definidos: responsable del área, líder de 5S, responsables de zonas.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</row>
    <row r="39" customFormat="false" ht="36" hidden="false" customHeight="true" outlineLevel="0" collapsed="false">
      <c r="A39" s="68" t="s">
        <v>274</v>
      </c>
      <c r="B39" s="55" t="str">
        <f aca="false">Lista_control!C40</f>
        <v>La gestión visual funciona: marcas, indicadores y paneles informativos están completos y son legibles.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</row>
    <row r="40" customFormat="false" ht="36" hidden="false" customHeight="true" outlineLevel="0" collapsed="false">
      <c r="A40" s="68" t="s">
        <v>279</v>
      </c>
      <c r="B40" s="55" t="str">
        <f aca="false">Lista_control!C41</f>
        <v>Existe una lista de verificación diaria de 5S (5 minutos) y se rellena realmente.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</row>
    <row r="41" customFormat="false" ht="36" hidden="false" customHeight="true" outlineLevel="0" collapsed="false">
      <c r="A41" s="68" t="s">
        <v>284</v>
      </c>
      <c r="B41" s="55" t="str">
        <f aca="false">Lista_control!C42</f>
        <v>Los estándares son visuales (fotos, dibujos, colores) y se entienden sin leer instrucciones largas.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</row>
    <row r="42" customFormat="false" ht="36" hidden="false" customHeight="true" outlineLevel="0" collapsed="false">
      <c r="A42" s="68" t="s">
        <v>289</v>
      </c>
      <c r="B42" s="55" t="str">
        <f aca="false">Lista_control!C43</f>
        <v>Los nuevos empleados reciben formación sobre el estándar 5S de su área y la formación está documentada.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</row>
    <row r="43" customFormat="false" ht="36" hidden="false" customHeight="true" outlineLevel="0" collapsed="false">
      <c r="A43" s="68" t="s">
        <v>294</v>
      </c>
      <c r="B43" s="55" t="str">
        <f aca="false">Lista_control!C44</f>
        <v>Los cambios (máquina nueva, cambio de distribución, producto nuevo) conllevan la actualización del estándar 5S.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</row>
    <row r="44" customFormat="false" ht="21.75" hidden="false" customHeight="true" outlineLevel="0" collapsed="false">
      <c r="A44" s="69" t="s">
        <v>354</v>
      </c>
      <c r="B44" s="70" t="s">
        <v>355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</row>
    <row r="45" customFormat="false" ht="36" hidden="false" customHeight="true" outlineLevel="0" collapsed="false">
      <c r="A45" s="72" t="s">
        <v>299</v>
      </c>
      <c r="B45" s="55" t="str">
        <f aca="false">Lista_control!C45</f>
        <v>El personal mantiene el orden de forma continua, sin recordatorios ni controles.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</row>
    <row r="46" customFormat="false" ht="36" hidden="false" customHeight="true" outlineLevel="0" collapsed="false">
      <c r="A46" s="72" t="s">
        <v>304</v>
      </c>
      <c r="B46" s="55" t="str">
        <f aca="false">Lista_control!C46</f>
        <v>Se realizan a diario los 5 minutos al final del turno (limpieza y control).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</row>
    <row r="47" customFormat="false" ht="36" hidden="false" customHeight="true" outlineLevel="0" collapsed="false">
      <c r="A47" s="72" t="s">
        <v>309</v>
      </c>
      <c r="B47" s="55" t="str">
        <f aca="false">Lista_control!C47</f>
        <v>Las auditorías se realizan según el calendario y los resultados están expuestos en el área.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</row>
    <row r="48" customFormat="false" ht="36" hidden="false" customHeight="true" outlineLevel="0" collapsed="false">
      <c r="A48" s="72" t="s">
        <v>314</v>
      </c>
      <c r="B48" s="55" t="str">
        <f aca="false">Lista_control!C48</f>
        <v>Las acciones de auditorías anteriores se ejecutan en plazo.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</row>
    <row r="49" customFormat="false" ht="36" hidden="false" customHeight="true" outlineLevel="0" collapsed="false">
      <c r="A49" s="72" t="s">
        <v>319</v>
      </c>
      <c r="B49" s="55" t="str">
        <f aca="false">Lista_control!C49</f>
        <v>La dirección visita el área con regularidad y comprueba las 5S sobre el terreno (gemba).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</row>
    <row r="50" customFormat="false" ht="36" hidden="false" customHeight="true" outlineLevel="0" collapsed="false">
      <c r="A50" s="72" t="s">
        <v>324</v>
      </c>
      <c r="B50" s="55" t="str">
        <f aca="false">Lista_control!C50</f>
        <v>El personal conoce las reglas de 5S y sabe explicar qué forma parte de sus obligaciones.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</row>
    <row r="51" customFormat="false" ht="36" hidden="false" customHeight="true" outlineLevel="0" collapsed="false">
      <c r="A51" s="72" t="s">
        <v>329</v>
      </c>
      <c r="B51" s="55" t="str">
        <f aca="false">Lista_control!C51</f>
        <v>Las ideas y comentarios del personal sobre las 5S se recogen y se estudian, y los autores reciben respuesta.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</row>
    <row r="52" customFormat="false" ht="36" hidden="false" customHeight="true" outlineLevel="0" collapsed="false">
      <c r="A52" s="72" t="s">
        <v>334</v>
      </c>
      <c r="B52" s="55" t="str">
        <f aca="false">Lista_control!C52</f>
        <v>Los resultados de 5S se siguen en tendencia y se comentan en reuniones; el resultado se mantiene en el objetivo o sube.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</row>
    <row r="54" customFormat="false" ht="21.75" hidden="false" customHeight="true" outlineLevel="0" collapsed="false">
      <c r="A54" s="73" t="s">
        <v>356</v>
      </c>
      <c r="B54" s="73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</row>
    <row r="55" customFormat="false" ht="15" hidden="false" customHeight="false" outlineLevel="0" collapsed="false">
      <c r="A55" s="53"/>
      <c r="B55" s="75" t="s">
        <v>73</v>
      </c>
      <c r="C55" s="76" t="str">
        <f aca="false">IFERROR(SUM(C9:C16)/(COUNT(C9:C16)*4),"")</f>
        <v/>
      </c>
      <c r="D55" s="76" t="str">
        <f aca="false">IFERROR(SUM(D9:D16)/(COUNT(D9:D16)*4),"")</f>
        <v/>
      </c>
      <c r="E55" s="76" t="str">
        <f aca="false">IFERROR(SUM(E9:E16)/(COUNT(E9:E16)*4),"")</f>
        <v/>
      </c>
      <c r="F55" s="76" t="str">
        <f aca="false">IFERROR(SUM(F9:F16)/(COUNT(F9:F16)*4),"")</f>
        <v/>
      </c>
      <c r="G55" s="76" t="str">
        <f aca="false">IFERROR(SUM(G9:G16)/(COUNT(G9:G16)*4),"")</f>
        <v/>
      </c>
      <c r="H55" s="76" t="str">
        <f aca="false">IFERROR(SUM(H9:H16)/(COUNT(H9:H16)*4),"")</f>
        <v/>
      </c>
      <c r="I55" s="76" t="str">
        <f aca="false">IFERROR(SUM(I9:I16)/(COUNT(I9:I16)*4),"")</f>
        <v/>
      </c>
      <c r="J55" s="76" t="str">
        <f aca="false">IFERROR(SUM(J9:J16)/(COUNT(J9:J16)*4),"")</f>
        <v/>
      </c>
      <c r="K55" s="76" t="str">
        <f aca="false">IFERROR(SUM(K9:K16)/(COUNT(K9:K16)*4),"")</f>
        <v/>
      </c>
      <c r="L55" s="76" t="str">
        <f aca="false">IFERROR(SUM(L9:L16)/(COUNT(L9:L16)*4),"")</f>
        <v/>
      </c>
      <c r="M55" s="76" t="str">
        <f aca="false">IFERROR(SUM(M9:M16)/(COUNT(M9:M16)*4),"")</f>
        <v/>
      </c>
      <c r="N55" s="76" t="str">
        <f aca="false">IFERROR(SUM(N9:N16)/(COUNT(N9:N16)*4),"")</f>
        <v/>
      </c>
      <c r="O55" s="76" t="str">
        <f aca="false">IFERROR(SUM(O9:O16)/(COUNT(O9:O16)*4),"")</f>
        <v/>
      </c>
      <c r="P55" s="76" t="str">
        <f aca="false">IFERROR(SUM(P9:P16)/(COUNT(P9:P16)*4),"")</f>
        <v/>
      </c>
      <c r="Q55" s="76" t="str">
        <f aca="false">IFERROR(SUM(Q9:Q16)/(COUNT(Q9:Q16)*4),"")</f>
        <v/>
      </c>
      <c r="R55" s="76" t="str">
        <f aca="false">IFERROR(SUM(R9:R16)/(COUNT(R9:R16)*4),"")</f>
        <v/>
      </c>
      <c r="S55" s="76" t="str">
        <f aca="false">IFERROR(SUM(S9:S16)/(COUNT(S9:S16)*4),"")</f>
        <v/>
      </c>
      <c r="T55" s="76" t="str">
        <f aca="false">IFERROR(SUM(T9:T16)/(COUNT(T9:T16)*4),"")</f>
        <v/>
      </c>
      <c r="U55" s="76" t="str">
        <f aca="false">IFERROR(SUM(U9:U16)/(COUNT(U9:U16)*4),"")</f>
        <v/>
      </c>
      <c r="V55" s="76" t="str">
        <f aca="false">IFERROR(SUM(V9:V16)/(COUNT(V9:V16)*4),"")</f>
        <v/>
      </c>
      <c r="W55" s="76" t="str">
        <f aca="false">IFERROR(SUM(W9:W16)/(COUNT(W9:W16)*4),"")</f>
        <v/>
      </c>
      <c r="X55" s="76" t="str">
        <f aca="false">IFERROR(SUM(X9:X16)/(COUNT(X9:X16)*4),"")</f>
        <v/>
      </c>
      <c r="Y55" s="76" t="str">
        <f aca="false">IFERROR(SUM(Y9:Y16)/(COUNT(Y9:Y16)*4),"")</f>
        <v/>
      </c>
      <c r="Z55" s="76" t="str">
        <f aca="false">IFERROR(SUM(Z9:Z16)/(COUNT(Z9:Z16)*4),"")</f>
        <v/>
      </c>
      <c r="AA55" s="76" t="str">
        <f aca="false">IFERROR(SUM(AA9:AA16)/(COUNT(AA9:AA16)*4),"")</f>
        <v/>
      </c>
      <c r="AB55" s="76" t="str">
        <f aca="false">IFERROR(SUM(AB9:AB16)/(COUNT(AB9:AB16)*4),"")</f>
        <v/>
      </c>
      <c r="AC55" s="76" t="str">
        <f aca="false">IFERROR(SUM(AC9:AC16)/(COUNT(AC9:AC16)*4),"")</f>
        <v/>
      </c>
      <c r="AD55" s="76" t="str">
        <f aca="false">IFERROR(SUM(AD9:AD16)/(COUNT(AD9:AD16)*4),"")</f>
        <v/>
      </c>
      <c r="AE55" s="76" t="str">
        <f aca="false">IFERROR(SUM(AE9:AE16)/(COUNT(AE9:AE16)*4),"")</f>
        <v/>
      </c>
      <c r="AF55" s="76" t="str">
        <f aca="false">IFERROR(SUM(AF9:AF16)/(COUNT(AF9:AF16)*4),"")</f>
        <v/>
      </c>
      <c r="AG55" s="76" t="str">
        <f aca="false">IFERROR(SUM(AG9:AG16)/(COUNT(AG9:AG16)*4),"")</f>
        <v/>
      </c>
      <c r="AH55" s="76" t="str">
        <f aca="false">IFERROR(SUM(AH9:AH16)/(COUNT(AH9:AH16)*4),"")</f>
        <v/>
      </c>
      <c r="AI55" s="76" t="str">
        <f aca="false">IFERROR(SUM(AI9:AI16)/(COUNT(AI9:AI16)*4),"")</f>
        <v/>
      </c>
      <c r="AJ55" s="76" t="str">
        <f aca="false">IFERROR(SUM(AJ9:AJ16)/(COUNT(AJ9:AJ16)*4),"")</f>
        <v/>
      </c>
      <c r="AK55" s="76" t="str">
        <f aca="false">IFERROR(SUM(AK9:AK16)/(COUNT(AK9:AK16)*4),"")</f>
        <v/>
      </c>
      <c r="AL55" s="76" t="str">
        <f aca="false">IFERROR(SUM(AL9:AL16)/(COUNT(AL9:AL16)*4),"")</f>
        <v/>
      </c>
      <c r="AM55" s="76" t="str">
        <f aca="false">IFERROR(SUM(AM9:AM16)/(COUNT(AM9:AM16)*4),"")</f>
        <v/>
      </c>
      <c r="AN55" s="76" t="str">
        <f aca="false">IFERROR(SUM(AN9:AN16)/(COUNT(AN9:AN16)*4),"")</f>
        <v/>
      </c>
      <c r="AO55" s="76" t="str">
        <f aca="false">IFERROR(SUM(AO9:AO16)/(COUNT(AO9:AO16)*4),"")</f>
        <v/>
      </c>
      <c r="AP55" s="76" t="str">
        <f aca="false">IFERROR(SUM(AP9:AP16)/(COUNT(AP9:AP16)*4),"")</f>
        <v/>
      </c>
      <c r="AQ55" s="76" t="str">
        <f aca="false">IFERROR(SUM(AQ9:AQ16)/(COUNT(AQ9:AQ16)*4),"")</f>
        <v/>
      </c>
      <c r="AR55" s="76" t="str">
        <f aca="false">IFERROR(SUM(AR9:AR16)/(COUNT(AR9:AR16)*4),"")</f>
        <v/>
      </c>
      <c r="AS55" s="76" t="str">
        <f aca="false">IFERROR(SUM(AS9:AS16)/(COUNT(AS9:AS16)*4),"")</f>
        <v/>
      </c>
      <c r="AT55" s="76" t="str">
        <f aca="false">IFERROR(SUM(AT9:AT16)/(COUNT(AT9:AT16)*4),"")</f>
        <v/>
      </c>
      <c r="AU55" s="76" t="str">
        <f aca="false">IFERROR(SUM(AU9:AU16)/(COUNT(AU9:AU16)*4),"")</f>
        <v/>
      </c>
      <c r="AV55" s="76" t="str">
        <f aca="false">IFERROR(SUM(AV9:AV16)/(COUNT(AV9:AV16)*4),"")</f>
        <v/>
      </c>
      <c r="AW55" s="76" t="str">
        <f aca="false">IFERROR(SUM(AW9:AW16)/(COUNT(AW9:AW16)*4),"")</f>
        <v/>
      </c>
      <c r="AX55" s="76" t="str">
        <f aca="false">IFERROR(SUM(AX9:AX16)/(COUNT(AX9:AX16)*4),"")</f>
        <v/>
      </c>
      <c r="AY55" s="76" t="str">
        <f aca="false">IFERROR(SUM(AY9:AY16)/(COUNT(AY9:AY16)*4),"")</f>
        <v/>
      </c>
      <c r="AZ55" s="76" t="str">
        <f aca="false">IFERROR(SUM(AZ9:AZ16)/(COUNT(AZ9:AZ16)*4),"")</f>
        <v/>
      </c>
      <c r="BA55" s="76" t="str">
        <f aca="false">IFERROR(SUM(BA9:BA16)/(COUNT(BA9:BA16)*4),"")</f>
        <v/>
      </c>
      <c r="BB55" s="76" t="str">
        <f aca="false">IFERROR(SUM(BB9:BB16)/(COUNT(BB9:BB16)*4),"")</f>
        <v/>
      </c>
      <c r="BC55" s="76" t="str">
        <f aca="false">IFERROR(SUM(BC9:BC16)/(COUNT(BC9:BC16)*4),"")</f>
        <v/>
      </c>
      <c r="BD55" s="76" t="str">
        <f aca="false">IFERROR(SUM(BD9:BD16)/(COUNT(BD9:BD16)*4),"")</f>
        <v/>
      </c>
      <c r="BE55" s="76" t="str">
        <f aca="false">IFERROR(SUM(BE9:BE16)/(COUNT(BE9:BE16)*4),"")</f>
        <v/>
      </c>
      <c r="BF55" s="76" t="str">
        <f aca="false">IFERROR(SUM(BF9:BF16)/(COUNT(BF9:BF16)*4),"")</f>
        <v/>
      </c>
      <c r="BG55" s="76" t="str">
        <f aca="false">IFERROR(SUM(BG9:BG16)/(COUNT(BG9:BG16)*4),"")</f>
        <v/>
      </c>
      <c r="BH55" s="76" t="str">
        <f aca="false">IFERROR(SUM(BH9:BH16)/(COUNT(BH9:BH16)*4),"")</f>
        <v/>
      </c>
      <c r="BI55" s="76" t="str">
        <f aca="false">IFERROR(SUM(BI9:BI16)/(COUNT(BI9:BI16)*4),"")</f>
        <v/>
      </c>
      <c r="BJ55" s="76" t="str">
        <f aca="false">IFERROR(SUM(BJ9:BJ16)/(COUNT(BJ9:BJ16)*4),"")</f>
        <v/>
      </c>
    </row>
    <row r="56" customFormat="false" ht="15" hidden="false" customHeight="false" outlineLevel="0" collapsed="false">
      <c r="A56" s="59"/>
      <c r="B56" s="77" t="s">
        <v>82</v>
      </c>
      <c r="C56" s="76" t="str">
        <f aca="false">IFERROR(SUM(C18:C25)/(COUNT(C18:C25)*4),"")</f>
        <v/>
      </c>
      <c r="D56" s="76" t="str">
        <f aca="false">IFERROR(SUM(D18:D25)/(COUNT(D18:D25)*4),"")</f>
        <v/>
      </c>
      <c r="E56" s="76" t="str">
        <f aca="false">IFERROR(SUM(E18:E25)/(COUNT(E18:E25)*4),"")</f>
        <v/>
      </c>
      <c r="F56" s="76" t="str">
        <f aca="false">IFERROR(SUM(F18:F25)/(COUNT(F18:F25)*4),"")</f>
        <v/>
      </c>
      <c r="G56" s="76" t="str">
        <f aca="false">IFERROR(SUM(G18:G25)/(COUNT(G18:G25)*4),"")</f>
        <v/>
      </c>
      <c r="H56" s="76" t="str">
        <f aca="false">IFERROR(SUM(H18:H25)/(COUNT(H18:H25)*4),"")</f>
        <v/>
      </c>
      <c r="I56" s="76" t="str">
        <f aca="false">IFERROR(SUM(I18:I25)/(COUNT(I18:I25)*4),"")</f>
        <v/>
      </c>
      <c r="J56" s="76" t="str">
        <f aca="false">IFERROR(SUM(J18:J25)/(COUNT(J18:J25)*4),"")</f>
        <v/>
      </c>
      <c r="K56" s="76" t="str">
        <f aca="false">IFERROR(SUM(K18:K25)/(COUNT(K18:K25)*4),"")</f>
        <v/>
      </c>
      <c r="L56" s="76" t="str">
        <f aca="false">IFERROR(SUM(L18:L25)/(COUNT(L18:L25)*4),"")</f>
        <v/>
      </c>
      <c r="M56" s="76" t="str">
        <f aca="false">IFERROR(SUM(M18:M25)/(COUNT(M18:M25)*4),"")</f>
        <v/>
      </c>
      <c r="N56" s="76" t="str">
        <f aca="false">IFERROR(SUM(N18:N25)/(COUNT(N18:N25)*4),"")</f>
        <v/>
      </c>
      <c r="O56" s="76" t="str">
        <f aca="false">IFERROR(SUM(O18:O25)/(COUNT(O18:O25)*4),"")</f>
        <v/>
      </c>
      <c r="P56" s="76" t="str">
        <f aca="false">IFERROR(SUM(P18:P25)/(COUNT(P18:P25)*4),"")</f>
        <v/>
      </c>
      <c r="Q56" s="76" t="str">
        <f aca="false">IFERROR(SUM(Q18:Q25)/(COUNT(Q18:Q25)*4),"")</f>
        <v/>
      </c>
      <c r="R56" s="76" t="str">
        <f aca="false">IFERROR(SUM(R18:R25)/(COUNT(R18:R25)*4),"")</f>
        <v/>
      </c>
      <c r="S56" s="76" t="str">
        <f aca="false">IFERROR(SUM(S18:S25)/(COUNT(S18:S25)*4),"")</f>
        <v/>
      </c>
      <c r="T56" s="76" t="str">
        <f aca="false">IFERROR(SUM(T18:T25)/(COUNT(T18:T25)*4),"")</f>
        <v/>
      </c>
      <c r="U56" s="76" t="str">
        <f aca="false">IFERROR(SUM(U18:U25)/(COUNT(U18:U25)*4),"")</f>
        <v/>
      </c>
      <c r="V56" s="76" t="str">
        <f aca="false">IFERROR(SUM(V18:V25)/(COUNT(V18:V25)*4),"")</f>
        <v/>
      </c>
      <c r="W56" s="76" t="str">
        <f aca="false">IFERROR(SUM(W18:W25)/(COUNT(W18:W25)*4),"")</f>
        <v/>
      </c>
      <c r="X56" s="76" t="str">
        <f aca="false">IFERROR(SUM(X18:X25)/(COUNT(X18:X25)*4),"")</f>
        <v/>
      </c>
      <c r="Y56" s="76" t="str">
        <f aca="false">IFERROR(SUM(Y18:Y25)/(COUNT(Y18:Y25)*4),"")</f>
        <v/>
      </c>
      <c r="Z56" s="76" t="str">
        <f aca="false">IFERROR(SUM(Z18:Z25)/(COUNT(Z18:Z25)*4),"")</f>
        <v/>
      </c>
      <c r="AA56" s="76" t="str">
        <f aca="false">IFERROR(SUM(AA18:AA25)/(COUNT(AA18:AA25)*4),"")</f>
        <v/>
      </c>
      <c r="AB56" s="76" t="str">
        <f aca="false">IFERROR(SUM(AB18:AB25)/(COUNT(AB18:AB25)*4),"")</f>
        <v/>
      </c>
      <c r="AC56" s="76" t="str">
        <f aca="false">IFERROR(SUM(AC18:AC25)/(COUNT(AC18:AC25)*4),"")</f>
        <v/>
      </c>
      <c r="AD56" s="76" t="str">
        <f aca="false">IFERROR(SUM(AD18:AD25)/(COUNT(AD18:AD25)*4),"")</f>
        <v/>
      </c>
      <c r="AE56" s="76" t="str">
        <f aca="false">IFERROR(SUM(AE18:AE25)/(COUNT(AE18:AE25)*4),"")</f>
        <v/>
      </c>
      <c r="AF56" s="76" t="str">
        <f aca="false">IFERROR(SUM(AF18:AF25)/(COUNT(AF18:AF25)*4),"")</f>
        <v/>
      </c>
      <c r="AG56" s="76" t="str">
        <f aca="false">IFERROR(SUM(AG18:AG25)/(COUNT(AG18:AG25)*4),"")</f>
        <v/>
      </c>
      <c r="AH56" s="76" t="str">
        <f aca="false">IFERROR(SUM(AH18:AH25)/(COUNT(AH18:AH25)*4),"")</f>
        <v/>
      </c>
      <c r="AI56" s="76" t="str">
        <f aca="false">IFERROR(SUM(AI18:AI25)/(COUNT(AI18:AI25)*4),"")</f>
        <v/>
      </c>
      <c r="AJ56" s="76" t="str">
        <f aca="false">IFERROR(SUM(AJ18:AJ25)/(COUNT(AJ18:AJ25)*4),"")</f>
        <v/>
      </c>
      <c r="AK56" s="76" t="str">
        <f aca="false">IFERROR(SUM(AK18:AK25)/(COUNT(AK18:AK25)*4),"")</f>
        <v/>
      </c>
      <c r="AL56" s="76" t="str">
        <f aca="false">IFERROR(SUM(AL18:AL25)/(COUNT(AL18:AL25)*4),"")</f>
        <v/>
      </c>
      <c r="AM56" s="76" t="str">
        <f aca="false">IFERROR(SUM(AM18:AM25)/(COUNT(AM18:AM25)*4),"")</f>
        <v/>
      </c>
      <c r="AN56" s="76" t="str">
        <f aca="false">IFERROR(SUM(AN18:AN25)/(COUNT(AN18:AN25)*4),"")</f>
        <v/>
      </c>
      <c r="AO56" s="76" t="str">
        <f aca="false">IFERROR(SUM(AO18:AO25)/(COUNT(AO18:AO25)*4),"")</f>
        <v/>
      </c>
      <c r="AP56" s="76" t="str">
        <f aca="false">IFERROR(SUM(AP18:AP25)/(COUNT(AP18:AP25)*4),"")</f>
        <v/>
      </c>
      <c r="AQ56" s="76" t="str">
        <f aca="false">IFERROR(SUM(AQ18:AQ25)/(COUNT(AQ18:AQ25)*4),"")</f>
        <v/>
      </c>
      <c r="AR56" s="76" t="str">
        <f aca="false">IFERROR(SUM(AR18:AR25)/(COUNT(AR18:AR25)*4),"")</f>
        <v/>
      </c>
      <c r="AS56" s="76" t="str">
        <f aca="false">IFERROR(SUM(AS18:AS25)/(COUNT(AS18:AS25)*4),"")</f>
        <v/>
      </c>
      <c r="AT56" s="76" t="str">
        <f aca="false">IFERROR(SUM(AT18:AT25)/(COUNT(AT18:AT25)*4),"")</f>
        <v/>
      </c>
      <c r="AU56" s="76" t="str">
        <f aca="false">IFERROR(SUM(AU18:AU25)/(COUNT(AU18:AU25)*4),"")</f>
        <v/>
      </c>
      <c r="AV56" s="76" t="str">
        <f aca="false">IFERROR(SUM(AV18:AV25)/(COUNT(AV18:AV25)*4),"")</f>
        <v/>
      </c>
      <c r="AW56" s="76" t="str">
        <f aca="false">IFERROR(SUM(AW18:AW25)/(COUNT(AW18:AW25)*4),"")</f>
        <v/>
      </c>
      <c r="AX56" s="76" t="str">
        <f aca="false">IFERROR(SUM(AX18:AX25)/(COUNT(AX18:AX25)*4),"")</f>
        <v/>
      </c>
      <c r="AY56" s="76" t="str">
        <f aca="false">IFERROR(SUM(AY18:AY25)/(COUNT(AY18:AY25)*4),"")</f>
        <v/>
      </c>
      <c r="AZ56" s="76" t="str">
        <f aca="false">IFERROR(SUM(AZ18:AZ25)/(COUNT(AZ18:AZ25)*4),"")</f>
        <v/>
      </c>
      <c r="BA56" s="76" t="str">
        <f aca="false">IFERROR(SUM(BA18:BA25)/(COUNT(BA18:BA25)*4),"")</f>
        <v/>
      </c>
      <c r="BB56" s="76" t="str">
        <f aca="false">IFERROR(SUM(BB18:BB25)/(COUNT(BB18:BB25)*4),"")</f>
        <v/>
      </c>
      <c r="BC56" s="76" t="str">
        <f aca="false">IFERROR(SUM(BC18:BC25)/(COUNT(BC18:BC25)*4),"")</f>
        <v/>
      </c>
      <c r="BD56" s="76" t="str">
        <f aca="false">IFERROR(SUM(BD18:BD25)/(COUNT(BD18:BD25)*4),"")</f>
        <v/>
      </c>
      <c r="BE56" s="76" t="str">
        <f aca="false">IFERROR(SUM(BE18:BE25)/(COUNT(BE18:BE25)*4),"")</f>
        <v/>
      </c>
      <c r="BF56" s="76" t="str">
        <f aca="false">IFERROR(SUM(BF18:BF25)/(COUNT(BF18:BF25)*4),"")</f>
        <v/>
      </c>
      <c r="BG56" s="76" t="str">
        <f aca="false">IFERROR(SUM(BG18:BG25)/(COUNT(BG18:BG25)*4),"")</f>
        <v/>
      </c>
      <c r="BH56" s="76" t="str">
        <f aca="false">IFERROR(SUM(BH18:BH25)/(COUNT(BH18:BH25)*4),"")</f>
        <v/>
      </c>
      <c r="BI56" s="76" t="str">
        <f aca="false">IFERROR(SUM(BI18:BI25)/(COUNT(BI18:BI25)*4),"")</f>
        <v/>
      </c>
      <c r="BJ56" s="76" t="str">
        <f aca="false">IFERROR(SUM(BJ18:BJ25)/(COUNT(BJ18:BJ25)*4),"")</f>
        <v/>
      </c>
    </row>
    <row r="57" customFormat="false" ht="15" hidden="false" customHeight="false" outlineLevel="0" collapsed="false">
      <c r="A57" s="63"/>
      <c r="B57" s="78" t="s">
        <v>92</v>
      </c>
      <c r="C57" s="76" t="str">
        <f aca="false">IFERROR(SUM(C27:C34)/(COUNT(C27:C34)*4),"")</f>
        <v/>
      </c>
      <c r="D57" s="76" t="str">
        <f aca="false">IFERROR(SUM(D27:D34)/(COUNT(D27:D34)*4),"")</f>
        <v/>
      </c>
      <c r="E57" s="76" t="str">
        <f aca="false">IFERROR(SUM(E27:E34)/(COUNT(E27:E34)*4),"")</f>
        <v/>
      </c>
      <c r="F57" s="76" t="str">
        <f aca="false">IFERROR(SUM(F27:F34)/(COUNT(F27:F34)*4),"")</f>
        <v/>
      </c>
      <c r="G57" s="76" t="str">
        <f aca="false">IFERROR(SUM(G27:G34)/(COUNT(G27:G34)*4),"")</f>
        <v/>
      </c>
      <c r="H57" s="76" t="str">
        <f aca="false">IFERROR(SUM(H27:H34)/(COUNT(H27:H34)*4),"")</f>
        <v/>
      </c>
      <c r="I57" s="76" t="str">
        <f aca="false">IFERROR(SUM(I27:I34)/(COUNT(I27:I34)*4),"")</f>
        <v/>
      </c>
      <c r="J57" s="76" t="str">
        <f aca="false">IFERROR(SUM(J27:J34)/(COUNT(J27:J34)*4),"")</f>
        <v/>
      </c>
      <c r="K57" s="76" t="str">
        <f aca="false">IFERROR(SUM(K27:K34)/(COUNT(K27:K34)*4),"")</f>
        <v/>
      </c>
      <c r="L57" s="76" t="str">
        <f aca="false">IFERROR(SUM(L27:L34)/(COUNT(L27:L34)*4),"")</f>
        <v/>
      </c>
      <c r="M57" s="76" t="str">
        <f aca="false">IFERROR(SUM(M27:M34)/(COUNT(M27:M34)*4),"")</f>
        <v/>
      </c>
      <c r="N57" s="76" t="str">
        <f aca="false">IFERROR(SUM(N27:N34)/(COUNT(N27:N34)*4),"")</f>
        <v/>
      </c>
      <c r="O57" s="76" t="str">
        <f aca="false">IFERROR(SUM(O27:O34)/(COUNT(O27:O34)*4),"")</f>
        <v/>
      </c>
      <c r="P57" s="76" t="str">
        <f aca="false">IFERROR(SUM(P27:P34)/(COUNT(P27:P34)*4),"")</f>
        <v/>
      </c>
      <c r="Q57" s="76" t="str">
        <f aca="false">IFERROR(SUM(Q27:Q34)/(COUNT(Q27:Q34)*4),"")</f>
        <v/>
      </c>
      <c r="R57" s="76" t="str">
        <f aca="false">IFERROR(SUM(R27:R34)/(COUNT(R27:R34)*4),"")</f>
        <v/>
      </c>
      <c r="S57" s="76" t="str">
        <f aca="false">IFERROR(SUM(S27:S34)/(COUNT(S27:S34)*4),"")</f>
        <v/>
      </c>
      <c r="T57" s="76" t="str">
        <f aca="false">IFERROR(SUM(T27:T34)/(COUNT(T27:T34)*4),"")</f>
        <v/>
      </c>
      <c r="U57" s="76" t="str">
        <f aca="false">IFERROR(SUM(U27:U34)/(COUNT(U27:U34)*4),"")</f>
        <v/>
      </c>
      <c r="V57" s="76" t="str">
        <f aca="false">IFERROR(SUM(V27:V34)/(COUNT(V27:V34)*4),"")</f>
        <v/>
      </c>
      <c r="W57" s="76" t="str">
        <f aca="false">IFERROR(SUM(W27:W34)/(COUNT(W27:W34)*4),"")</f>
        <v/>
      </c>
      <c r="X57" s="76" t="str">
        <f aca="false">IFERROR(SUM(X27:X34)/(COUNT(X27:X34)*4),"")</f>
        <v/>
      </c>
      <c r="Y57" s="76" t="str">
        <f aca="false">IFERROR(SUM(Y27:Y34)/(COUNT(Y27:Y34)*4),"")</f>
        <v/>
      </c>
      <c r="Z57" s="76" t="str">
        <f aca="false">IFERROR(SUM(Z27:Z34)/(COUNT(Z27:Z34)*4),"")</f>
        <v/>
      </c>
      <c r="AA57" s="76" t="str">
        <f aca="false">IFERROR(SUM(AA27:AA34)/(COUNT(AA27:AA34)*4),"")</f>
        <v/>
      </c>
      <c r="AB57" s="76" t="str">
        <f aca="false">IFERROR(SUM(AB27:AB34)/(COUNT(AB27:AB34)*4),"")</f>
        <v/>
      </c>
      <c r="AC57" s="76" t="str">
        <f aca="false">IFERROR(SUM(AC27:AC34)/(COUNT(AC27:AC34)*4),"")</f>
        <v/>
      </c>
      <c r="AD57" s="76" t="str">
        <f aca="false">IFERROR(SUM(AD27:AD34)/(COUNT(AD27:AD34)*4),"")</f>
        <v/>
      </c>
      <c r="AE57" s="76" t="str">
        <f aca="false">IFERROR(SUM(AE27:AE34)/(COUNT(AE27:AE34)*4),"")</f>
        <v/>
      </c>
      <c r="AF57" s="76" t="str">
        <f aca="false">IFERROR(SUM(AF27:AF34)/(COUNT(AF27:AF34)*4),"")</f>
        <v/>
      </c>
      <c r="AG57" s="76" t="str">
        <f aca="false">IFERROR(SUM(AG27:AG34)/(COUNT(AG27:AG34)*4),"")</f>
        <v/>
      </c>
      <c r="AH57" s="76" t="str">
        <f aca="false">IFERROR(SUM(AH27:AH34)/(COUNT(AH27:AH34)*4),"")</f>
        <v/>
      </c>
      <c r="AI57" s="76" t="str">
        <f aca="false">IFERROR(SUM(AI27:AI34)/(COUNT(AI27:AI34)*4),"")</f>
        <v/>
      </c>
      <c r="AJ57" s="76" t="str">
        <f aca="false">IFERROR(SUM(AJ27:AJ34)/(COUNT(AJ27:AJ34)*4),"")</f>
        <v/>
      </c>
      <c r="AK57" s="76" t="str">
        <f aca="false">IFERROR(SUM(AK27:AK34)/(COUNT(AK27:AK34)*4),"")</f>
        <v/>
      </c>
      <c r="AL57" s="76" t="str">
        <f aca="false">IFERROR(SUM(AL27:AL34)/(COUNT(AL27:AL34)*4),"")</f>
        <v/>
      </c>
      <c r="AM57" s="76" t="str">
        <f aca="false">IFERROR(SUM(AM27:AM34)/(COUNT(AM27:AM34)*4),"")</f>
        <v/>
      </c>
      <c r="AN57" s="76" t="str">
        <f aca="false">IFERROR(SUM(AN27:AN34)/(COUNT(AN27:AN34)*4),"")</f>
        <v/>
      </c>
      <c r="AO57" s="76" t="str">
        <f aca="false">IFERROR(SUM(AO27:AO34)/(COUNT(AO27:AO34)*4),"")</f>
        <v/>
      </c>
      <c r="AP57" s="76" t="str">
        <f aca="false">IFERROR(SUM(AP27:AP34)/(COUNT(AP27:AP34)*4),"")</f>
        <v/>
      </c>
      <c r="AQ57" s="76" t="str">
        <f aca="false">IFERROR(SUM(AQ27:AQ34)/(COUNT(AQ27:AQ34)*4),"")</f>
        <v/>
      </c>
      <c r="AR57" s="76" t="str">
        <f aca="false">IFERROR(SUM(AR27:AR34)/(COUNT(AR27:AR34)*4),"")</f>
        <v/>
      </c>
      <c r="AS57" s="76" t="str">
        <f aca="false">IFERROR(SUM(AS27:AS34)/(COUNT(AS27:AS34)*4),"")</f>
        <v/>
      </c>
      <c r="AT57" s="76" t="str">
        <f aca="false">IFERROR(SUM(AT27:AT34)/(COUNT(AT27:AT34)*4),"")</f>
        <v/>
      </c>
      <c r="AU57" s="76" t="str">
        <f aca="false">IFERROR(SUM(AU27:AU34)/(COUNT(AU27:AU34)*4),"")</f>
        <v/>
      </c>
      <c r="AV57" s="76" t="str">
        <f aca="false">IFERROR(SUM(AV27:AV34)/(COUNT(AV27:AV34)*4),"")</f>
        <v/>
      </c>
      <c r="AW57" s="76" t="str">
        <f aca="false">IFERROR(SUM(AW27:AW34)/(COUNT(AW27:AW34)*4),"")</f>
        <v/>
      </c>
      <c r="AX57" s="76" t="str">
        <f aca="false">IFERROR(SUM(AX27:AX34)/(COUNT(AX27:AX34)*4),"")</f>
        <v/>
      </c>
      <c r="AY57" s="76" t="str">
        <f aca="false">IFERROR(SUM(AY27:AY34)/(COUNT(AY27:AY34)*4),"")</f>
        <v/>
      </c>
      <c r="AZ57" s="76" t="str">
        <f aca="false">IFERROR(SUM(AZ27:AZ34)/(COUNT(AZ27:AZ34)*4),"")</f>
        <v/>
      </c>
      <c r="BA57" s="76" t="str">
        <f aca="false">IFERROR(SUM(BA27:BA34)/(COUNT(BA27:BA34)*4),"")</f>
        <v/>
      </c>
      <c r="BB57" s="76" t="str">
        <f aca="false">IFERROR(SUM(BB27:BB34)/(COUNT(BB27:BB34)*4),"")</f>
        <v/>
      </c>
      <c r="BC57" s="76" t="str">
        <f aca="false">IFERROR(SUM(BC27:BC34)/(COUNT(BC27:BC34)*4),"")</f>
        <v/>
      </c>
      <c r="BD57" s="76" t="str">
        <f aca="false">IFERROR(SUM(BD27:BD34)/(COUNT(BD27:BD34)*4),"")</f>
        <v/>
      </c>
      <c r="BE57" s="76" t="str">
        <f aca="false">IFERROR(SUM(BE27:BE34)/(COUNT(BE27:BE34)*4),"")</f>
        <v/>
      </c>
      <c r="BF57" s="76" t="str">
        <f aca="false">IFERROR(SUM(BF27:BF34)/(COUNT(BF27:BF34)*4),"")</f>
        <v/>
      </c>
      <c r="BG57" s="76" t="str">
        <f aca="false">IFERROR(SUM(BG27:BG34)/(COUNT(BG27:BG34)*4),"")</f>
        <v/>
      </c>
      <c r="BH57" s="76" t="str">
        <f aca="false">IFERROR(SUM(BH27:BH34)/(COUNT(BH27:BH34)*4),"")</f>
        <v/>
      </c>
      <c r="BI57" s="76" t="str">
        <f aca="false">IFERROR(SUM(BI27:BI34)/(COUNT(BI27:BI34)*4),"")</f>
        <v/>
      </c>
      <c r="BJ57" s="76" t="str">
        <f aca="false">IFERROR(SUM(BJ27:BJ34)/(COUNT(BJ27:BJ34)*4),"")</f>
        <v/>
      </c>
    </row>
    <row r="58" customFormat="false" ht="15" hidden="false" customHeight="false" outlineLevel="0" collapsed="false">
      <c r="A58" s="67"/>
      <c r="B58" s="79" t="s">
        <v>99</v>
      </c>
      <c r="C58" s="76" t="str">
        <f aca="false">IFERROR(SUM(C36:C43)/(COUNT(C36:C43)*4),"")</f>
        <v/>
      </c>
      <c r="D58" s="76" t="str">
        <f aca="false">IFERROR(SUM(D36:D43)/(COUNT(D36:D43)*4),"")</f>
        <v/>
      </c>
      <c r="E58" s="76" t="str">
        <f aca="false">IFERROR(SUM(E36:E43)/(COUNT(E36:E43)*4),"")</f>
        <v/>
      </c>
      <c r="F58" s="76" t="str">
        <f aca="false">IFERROR(SUM(F36:F43)/(COUNT(F36:F43)*4),"")</f>
        <v/>
      </c>
      <c r="G58" s="76" t="str">
        <f aca="false">IFERROR(SUM(G36:G43)/(COUNT(G36:G43)*4),"")</f>
        <v/>
      </c>
      <c r="H58" s="76" t="str">
        <f aca="false">IFERROR(SUM(H36:H43)/(COUNT(H36:H43)*4),"")</f>
        <v/>
      </c>
      <c r="I58" s="76" t="str">
        <f aca="false">IFERROR(SUM(I36:I43)/(COUNT(I36:I43)*4),"")</f>
        <v/>
      </c>
      <c r="J58" s="76" t="str">
        <f aca="false">IFERROR(SUM(J36:J43)/(COUNT(J36:J43)*4),"")</f>
        <v/>
      </c>
      <c r="K58" s="76" t="str">
        <f aca="false">IFERROR(SUM(K36:K43)/(COUNT(K36:K43)*4),"")</f>
        <v/>
      </c>
      <c r="L58" s="76" t="str">
        <f aca="false">IFERROR(SUM(L36:L43)/(COUNT(L36:L43)*4),"")</f>
        <v/>
      </c>
      <c r="M58" s="76" t="str">
        <f aca="false">IFERROR(SUM(M36:M43)/(COUNT(M36:M43)*4),"")</f>
        <v/>
      </c>
      <c r="N58" s="76" t="str">
        <f aca="false">IFERROR(SUM(N36:N43)/(COUNT(N36:N43)*4),"")</f>
        <v/>
      </c>
      <c r="O58" s="76" t="str">
        <f aca="false">IFERROR(SUM(O36:O43)/(COUNT(O36:O43)*4),"")</f>
        <v/>
      </c>
      <c r="P58" s="76" t="str">
        <f aca="false">IFERROR(SUM(P36:P43)/(COUNT(P36:P43)*4),"")</f>
        <v/>
      </c>
      <c r="Q58" s="76" t="str">
        <f aca="false">IFERROR(SUM(Q36:Q43)/(COUNT(Q36:Q43)*4),"")</f>
        <v/>
      </c>
      <c r="R58" s="76" t="str">
        <f aca="false">IFERROR(SUM(R36:R43)/(COUNT(R36:R43)*4),"")</f>
        <v/>
      </c>
      <c r="S58" s="76" t="str">
        <f aca="false">IFERROR(SUM(S36:S43)/(COUNT(S36:S43)*4),"")</f>
        <v/>
      </c>
      <c r="T58" s="76" t="str">
        <f aca="false">IFERROR(SUM(T36:T43)/(COUNT(T36:T43)*4),"")</f>
        <v/>
      </c>
      <c r="U58" s="76" t="str">
        <f aca="false">IFERROR(SUM(U36:U43)/(COUNT(U36:U43)*4),"")</f>
        <v/>
      </c>
      <c r="V58" s="76" t="str">
        <f aca="false">IFERROR(SUM(V36:V43)/(COUNT(V36:V43)*4),"")</f>
        <v/>
      </c>
      <c r="W58" s="76" t="str">
        <f aca="false">IFERROR(SUM(W36:W43)/(COUNT(W36:W43)*4),"")</f>
        <v/>
      </c>
      <c r="X58" s="76" t="str">
        <f aca="false">IFERROR(SUM(X36:X43)/(COUNT(X36:X43)*4),"")</f>
        <v/>
      </c>
      <c r="Y58" s="76" t="str">
        <f aca="false">IFERROR(SUM(Y36:Y43)/(COUNT(Y36:Y43)*4),"")</f>
        <v/>
      </c>
      <c r="Z58" s="76" t="str">
        <f aca="false">IFERROR(SUM(Z36:Z43)/(COUNT(Z36:Z43)*4),"")</f>
        <v/>
      </c>
      <c r="AA58" s="76" t="str">
        <f aca="false">IFERROR(SUM(AA36:AA43)/(COUNT(AA36:AA43)*4),"")</f>
        <v/>
      </c>
      <c r="AB58" s="76" t="str">
        <f aca="false">IFERROR(SUM(AB36:AB43)/(COUNT(AB36:AB43)*4),"")</f>
        <v/>
      </c>
      <c r="AC58" s="76" t="str">
        <f aca="false">IFERROR(SUM(AC36:AC43)/(COUNT(AC36:AC43)*4),"")</f>
        <v/>
      </c>
      <c r="AD58" s="76" t="str">
        <f aca="false">IFERROR(SUM(AD36:AD43)/(COUNT(AD36:AD43)*4),"")</f>
        <v/>
      </c>
      <c r="AE58" s="76" t="str">
        <f aca="false">IFERROR(SUM(AE36:AE43)/(COUNT(AE36:AE43)*4),"")</f>
        <v/>
      </c>
      <c r="AF58" s="76" t="str">
        <f aca="false">IFERROR(SUM(AF36:AF43)/(COUNT(AF36:AF43)*4),"")</f>
        <v/>
      </c>
      <c r="AG58" s="76" t="str">
        <f aca="false">IFERROR(SUM(AG36:AG43)/(COUNT(AG36:AG43)*4),"")</f>
        <v/>
      </c>
      <c r="AH58" s="76" t="str">
        <f aca="false">IFERROR(SUM(AH36:AH43)/(COUNT(AH36:AH43)*4),"")</f>
        <v/>
      </c>
      <c r="AI58" s="76" t="str">
        <f aca="false">IFERROR(SUM(AI36:AI43)/(COUNT(AI36:AI43)*4),"")</f>
        <v/>
      </c>
      <c r="AJ58" s="76" t="str">
        <f aca="false">IFERROR(SUM(AJ36:AJ43)/(COUNT(AJ36:AJ43)*4),"")</f>
        <v/>
      </c>
      <c r="AK58" s="76" t="str">
        <f aca="false">IFERROR(SUM(AK36:AK43)/(COUNT(AK36:AK43)*4),"")</f>
        <v/>
      </c>
      <c r="AL58" s="76" t="str">
        <f aca="false">IFERROR(SUM(AL36:AL43)/(COUNT(AL36:AL43)*4),"")</f>
        <v/>
      </c>
      <c r="AM58" s="76" t="str">
        <f aca="false">IFERROR(SUM(AM36:AM43)/(COUNT(AM36:AM43)*4),"")</f>
        <v/>
      </c>
      <c r="AN58" s="76" t="str">
        <f aca="false">IFERROR(SUM(AN36:AN43)/(COUNT(AN36:AN43)*4),"")</f>
        <v/>
      </c>
      <c r="AO58" s="76" t="str">
        <f aca="false">IFERROR(SUM(AO36:AO43)/(COUNT(AO36:AO43)*4),"")</f>
        <v/>
      </c>
      <c r="AP58" s="76" t="str">
        <f aca="false">IFERROR(SUM(AP36:AP43)/(COUNT(AP36:AP43)*4),"")</f>
        <v/>
      </c>
      <c r="AQ58" s="76" t="str">
        <f aca="false">IFERROR(SUM(AQ36:AQ43)/(COUNT(AQ36:AQ43)*4),"")</f>
        <v/>
      </c>
      <c r="AR58" s="76" t="str">
        <f aca="false">IFERROR(SUM(AR36:AR43)/(COUNT(AR36:AR43)*4),"")</f>
        <v/>
      </c>
      <c r="AS58" s="76" t="str">
        <f aca="false">IFERROR(SUM(AS36:AS43)/(COUNT(AS36:AS43)*4),"")</f>
        <v/>
      </c>
      <c r="AT58" s="76" t="str">
        <f aca="false">IFERROR(SUM(AT36:AT43)/(COUNT(AT36:AT43)*4),"")</f>
        <v/>
      </c>
      <c r="AU58" s="76" t="str">
        <f aca="false">IFERROR(SUM(AU36:AU43)/(COUNT(AU36:AU43)*4),"")</f>
        <v/>
      </c>
      <c r="AV58" s="76" t="str">
        <f aca="false">IFERROR(SUM(AV36:AV43)/(COUNT(AV36:AV43)*4),"")</f>
        <v/>
      </c>
      <c r="AW58" s="76" t="str">
        <f aca="false">IFERROR(SUM(AW36:AW43)/(COUNT(AW36:AW43)*4),"")</f>
        <v/>
      </c>
      <c r="AX58" s="76" t="str">
        <f aca="false">IFERROR(SUM(AX36:AX43)/(COUNT(AX36:AX43)*4),"")</f>
        <v/>
      </c>
      <c r="AY58" s="76" t="str">
        <f aca="false">IFERROR(SUM(AY36:AY43)/(COUNT(AY36:AY43)*4),"")</f>
        <v/>
      </c>
      <c r="AZ58" s="76" t="str">
        <f aca="false">IFERROR(SUM(AZ36:AZ43)/(COUNT(AZ36:AZ43)*4),"")</f>
        <v/>
      </c>
      <c r="BA58" s="76" t="str">
        <f aca="false">IFERROR(SUM(BA36:BA43)/(COUNT(BA36:BA43)*4),"")</f>
        <v/>
      </c>
      <c r="BB58" s="76" t="str">
        <f aca="false">IFERROR(SUM(BB36:BB43)/(COUNT(BB36:BB43)*4),"")</f>
        <v/>
      </c>
      <c r="BC58" s="76" t="str">
        <f aca="false">IFERROR(SUM(BC36:BC43)/(COUNT(BC36:BC43)*4),"")</f>
        <v/>
      </c>
      <c r="BD58" s="76" t="str">
        <f aca="false">IFERROR(SUM(BD36:BD43)/(COUNT(BD36:BD43)*4),"")</f>
        <v/>
      </c>
      <c r="BE58" s="76" t="str">
        <f aca="false">IFERROR(SUM(BE36:BE43)/(COUNT(BE36:BE43)*4),"")</f>
        <v/>
      </c>
      <c r="BF58" s="76" t="str">
        <f aca="false">IFERROR(SUM(BF36:BF43)/(COUNT(BF36:BF43)*4),"")</f>
        <v/>
      </c>
      <c r="BG58" s="76" t="str">
        <f aca="false">IFERROR(SUM(BG36:BG43)/(COUNT(BG36:BG43)*4),"")</f>
        <v/>
      </c>
      <c r="BH58" s="76" t="str">
        <f aca="false">IFERROR(SUM(BH36:BH43)/(COUNT(BH36:BH43)*4),"")</f>
        <v/>
      </c>
      <c r="BI58" s="76" t="str">
        <f aca="false">IFERROR(SUM(BI36:BI43)/(COUNT(BI36:BI43)*4),"")</f>
        <v/>
      </c>
      <c r="BJ58" s="76" t="str">
        <f aca="false">IFERROR(SUM(BJ36:BJ43)/(COUNT(BJ36:BJ43)*4),"")</f>
        <v/>
      </c>
    </row>
    <row r="59" customFormat="false" ht="15" hidden="false" customHeight="false" outlineLevel="0" collapsed="false">
      <c r="A59" s="71"/>
      <c r="B59" s="80" t="s">
        <v>103</v>
      </c>
      <c r="C59" s="76" t="str">
        <f aca="false">IFERROR(SUM(C45:C52)/(COUNT(C45:C52)*4),"")</f>
        <v/>
      </c>
      <c r="D59" s="76" t="str">
        <f aca="false">IFERROR(SUM(D45:D52)/(COUNT(D45:D52)*4),"")</f>
        <v/>
      </c>
      <c r="E59" s="76" t="str">
        <f aca="false">IFERROR(SUM(E45:E52)/(COUNT(E45:E52)*4),"")</f>
        <v/>
      </c>
      <c r="F59" s="76" t="str">
        <f aca="false">IFERROR(SUM(F45:F52)/(COUNT(F45:F52)*4),"")</f>
        <v/>
      </c>
      <c r="G59" s="76" t="str">
        <f aca="false">IFERROR(SUM(G45:G52)/(COUNT(G45:G52)*4),"")</f>
        <v/>
      </c>
      <c r="H59" s="76" t="str">
        <f aca="false">IFERROR(SUM(H45:H52)/(COUNT(H45:H52)*4),"")</f>
        <v/>
      </c>
      <c r="I59" s="76" t="str">
        <f aca="false">IFERROR(SUM(I45:I52)/(COUNT(I45:I52)*4),"")</f>
        <v/>
      </c>
      <c r="J59" s="76" t="str">
        <f aca="false">IFERROR(SUM(J45:J52)/(COUNT(J45:J52)*4),"")</f>
        <v/>
      </c>
      <c r="K59" s="76" t="str">
        <f aca="false">IFERROR(SUM(K45:K52)/(COUNT(K45:K52)*4),"")</f>
        <v/>
      </c>
      <c r="L59" s="76" t="str">
        <f aca="false">IFERROR(SUM(L45:L52)/(COUNT(L45:L52)*4),"")</f>
        <v/>
      </c>
      <c r="M59" s="76" t="str">
        <f aca="false">IFERROR(SUM(M45:M52)/(COUNT(M45:M52)*4),"")</f>
        <v/>
      </c>
      <c r="N59" s="76" t="str">
        <f aca="false">IFERROR(SUM(N45:N52)/(COUNT(N45:N52)*4),"")</f>
        <v/>
      </c>
      <c r="O59" s="76" t="str">
        <f aca="false">IFERROR(SUM(O45:O52)/(COUNT(O45:O52)*4),"")</f>
        <v/>
      </c>
      <c r="P59" s="76" t="str">
        <f aca="false">IFERROR(SUM(P45:P52)/(COUNT(P45:P52)*4),"")</f>
        <v/>
      </c>
      <c r="Q59" s="76" t="str">
        <f aca="false">IFERROR(SUM(Q45:Q52)/(COUNT(Q45:Q52)*4),"")</f>
        <v/>
      </c>
      <c r="R59" s="76" t="str">
        <f aca="false">IFERROR(SUM(R45:R52)/(COUNT(R45:R52)*4),"")</f>
        <v/>
      </c>
      <c r="S59" s="76" t="str">
        <f aca="false">IFERROR(SUM(S45:S52)/(COUNT(S45:S52)*4),"")</f>
        <v/>
      </c>
      <c r="T59" s="76" t="str">
        <f aca="false">IFERROR(SUM(T45:T52)/(COUNT(T45:T52)*4),"")</f>
        <v/>
      </c>
      <c r="U59" s="76" t="str">
        <f aca="false">IFERROR(SUM(U45:U52)/(COUNT(U45:U52)*4),"")</f>
        <v/>
      </c>
      <c r="V59" s="76" t="str">
        <f aca="false">IFERROR(SUM(V45:V52)/(COUNT(V45:V52)*4),"")</f>
        <v/>
      </c>
      <c r="W59" s="76" t="str">
        <f aca="false">IFERROR(SUM(W45:W52)/(COUNT(W45:W52)*4),"")</f>
        <v/>
      </c>
      <c r="X59" s="76" t="str">
        <f aca="false">IFERROR(SUM(X45:X52)/(COUNT(X45:X52)*4),"")</f>
        <v/>
      </c>
      <c r="Y59" s="76" t="str">
        <f aca="false">IFERROR(SUM(Y45:Y52)/(COUNT(Y45:Y52)*4),"")</f>
        <v/>
      </c>
      <c r="Z59" s="76" t="str">
        <f aca="false">IFERROR(SUM(Z45:Z52)/(COUNT(Z45:Z52)*4),"")</f>
        <v/>
      </c>
      <c r="AA59" s="76" t="str">
        <f aca="false">IFERROR(SUM(AA45:AA52)/(COUNT(AA45:AA52)*4),"")</f>
        <v/>
      </c>
      <c r="AB59" s="76" t="str">
        <f aca="false">IFERROR(SUM(AB45:AB52)/(COUNT(AB45:AB52)*4),"")</f>
        <v/>
      </c>
      <c r="AC59" s="76" t="str">
        <f aca="false">IFERROR(SUM(AC45:AC52)/(COUNT(AC45:AC52)*4),"")</f>
        <v/>
      </c>
      <c r="AD59" s="76" t="str">
        <f aca="false">IFERROR(SUM(AD45:AD52)/(COUNT(AD45:AD52)*4),"")</f>
        <v/>
      </c>
      <c r="AE59" s="76" t="str">
        <f aca="false">IFERROR(SUM(AE45:AE52)/(COUNT(AE45:AE52)*4),"")</f>
        <v/>
      </c>
      <c r="AF59" s="76" t="str">
        <f aca="false">IFERROR(SUM(AF45:AF52)/(COUNT(AF45:AF52)*4),"")</f>
        <v/>
      </c>
      <c r="AG59" s="76" t="str">
        <f aca="false">IFERROR(SUM(AG45:AG52)/(COUNT(AG45:AG52)*4),"")</f>
        <v/>
      </c>
      <c r="AH59" s="76" t="str">
        <f aca="false">IFERROR(SUM(AH45:AH52)/(COUNT(AH45:AH52)*4),"")</f>
        <v/>
      </c>
      <c r="AI59" s="76" t="str">
        <f aca="false">IFERROR(SUM(AI45:AI52)/(COUNT(AI45:AI52)*4),"")</f>
        <v/>
      </c>
      <c r="AJ59" s="76" t="str">
        <f aca="false">IFERROR(SUM(AJ45:AJ52)/(COUNT(AJ45:AJ52)*4),"")</f>
        <v/>
      </c>
      <c r="AK59" s="76" t="str">
        <f aca="false">IFERROR(SUM(AK45:AK52)/(COUNT(AK45:AK52)*4),"")</f>
        <v/>
      </c>
      <c r="AL59" s="76" t="str">
        <f aca="false">IFERROR(SUM(AL45:AL52)/(COUNT(AL45:AL52)*4),"")</f>
        <v/>
      </c>
      <c r="AM59" s="76" t="str">
        <f aca="false">IFERROR(SUM(AM45:AM52)/(COUNT(AM45:AM52)*4),"")</f>
        <v/>
      </c>
      <c r="AN59" s="76" t="str">
        <f aca="false">IFERROR(SUM(AN45:AN52)/(COUNT(AN45:AN52)*4),"")</f>
        <v/>
      </c>
      <c r="AO59" s="76" t="str">
        <f aca="false">IFERROR(SUM(AO45:AO52)/(COUNT(AO45:AO52)*4),"")</f>
        <v/>
      </c>
      <c r="AP59" s="76" t="str">
        <f aca="false">IFERROR(SUM(AP45:AP52)/(COUNT(AP45:AP52)*4),"")</f>
        <v/>
      </c>
      <c r="AQ59" s="76" t="str">
        <f aca="false">IFERROR(SUM(AQ45:AQ52)/(COUNT(AQ45:AQ52)*4),"")</f>
        <v/>
      </c>
      <c r="AR59" s="76" t="str">
        <f aca="false">IFERROR(SUM(AR45:AR52)/(COUNT(AR45:AR52)*4),"")</f>
        <v/>
      </c>
      <c r="AS59" s="76" t="str">
        <f aca="false">IFERROR(SUM(AS45:AS52)/(COUNT(AS45:AS52)*4),"")</f>
        <v/>
      </c>
      <c r="AT59" s="76" t="str">
        <f aca="false">IFERROR(SUM(AT45:AT52)/(COUNT(AT45:AT52)*4),"")</f>
        <v/>
      </c>
      <c r="AU59" s="76" t="str">
        <f aca="false">IFERROR(SUM(AU45:AU52)/(COUNT(AU45:AU52)*4),"")</f>
        <v/>
      </c>
      <c r="AV59" s="76" t="str">
        <f aca="false">IFERROR(SUM(AV45:AV52)/(COUNT(AV45:AV52)*4),"")</f>
        <v/>
      </c>
      <c r="AW59" s="76" t="str">
        <f aca="false">IFERROR(SUM(AW45:AW52)/(COUNT(AW45:AW52)*4),"")</f>
        <v/>
      </c>
      <c r="AX59" s="76" t="str">
        <f aca="false">IFERROR(SUM(AX45:AX52)/(COUNT(AX45:AX52)*4),"")</f>
        <v/>
      </c>
      <c r="AY59" s="76" t="str">
        <f aca="false">IFERROR(SUM(AY45:AY52)/(COUNT(AY45:AY52)*4),"")</f>
        <v/>
      </c>
      <c r="AZ59" s="76" t="str">
        <f aca="false">IFERROR(SUM(AZ45:AZ52)/(COUNT(AZ45:AZ52)*4),"")</f>
        <v/>
      </c>
      <c r="BA59" s="76" t="str">
        <f aca="false">IFERROR(SUM(BA45:BA52)/(COUNT(BA45:BA52)*4),"")</f>
        <v/>
      </c>
      <c r="BB59" s="76" t="str">
        <f aca="false">IFERROR(SUM(BB45:BB52)/(COUNT(BB45:BB52)*4),"")</f>
        <v/>
      </c>
      <c r="BC59" s="76" t="str">
        <f aca="false">IFERROR(SUM(BC45:BC52)/(COUNT(BC45:BC52)*4),"")</f>
        <v/>
      </c>
      <c r="BD59" s="76" t="str">
        <f aca="false">IFERROR(SUM(BD45:BD52)/(COUNT(BD45:BD52)*4),"")</f>
        <v/>
      </c>
      <c r="BE59" s="76" t="str">
        <f aca="false">IFERROR(SUM(BE45:BE52)/(COUNT(BE45:BE52)*4),"")</f>
        <v/>
      </c>
      <c r="BF59" s="76" t="str">
        <f aca="false">IFERROR(SUM(BF45:BF52)/(COUNT(BF45:BF52)*4),"")</f>
        <v/>
      </c>
      <c r="BG59" s="76" t="str">
        <f aca="false">IFERROR(SUM(BG45:BG52)/(COUNT(BG45:BG52)*4),"")</f>
        <v/>
      </c>
      <c r="BH59" s="76" t="str">
        <f aca="false">IFERROR(SUM(BH45:BH52)/(COUNT(BH45:BH52)*4),"")</f>
        <v/>
      </c>
      <c r="BI59" s="76" t="str">
        <f aca="false">IFERROR(SUM(BI45:BI52)/(COUNT(BI45:BI52)*4),"")</f>
        <v/>
      </c>
      <c r="BJ59" s="76" t="str">
        <f aca="false">IFERROR(SUM(BJ45:BJ52)/(COUNT(BJ45:BJ52)*4),"")</f>
        <v/>
      </c>
    </row>
    <row r="60" customFormat="false" ht="15" hidden="false" customHeight="false" outlineLevel="0" collapsed="false">
      <c r="B60" s="81" t="s">
        <v>357</v>
      </c>
      <c r="C60" s="82" t="str">
        <f aca="false">IFERROR(AVERAGE(C55:C59),"")</f>
        <v/>
      </c>
      <c r="D60" s="82" t="str">
        <f aca="false">IFERROR(AVERAGE(D55:D59),"")</f>
        <v/>
      </c>
      <c r="E60" s="82" t="str">
        <f aca="false">IFERROR(AVERAGE(E55:E59),"")</f>
        <v/>
      </c>
      <c r="F60" s="82" t="str">
        <f aca="false">IFERROR(AVERAGE(F55:F59),"")</f>
        <v/>
      </c>
      <c r="G60" s="82" t="str">
        <f aca="false">IFERROR(AVERAGE(G55:G59),"")</f>
        <v/>
      </c>
      <c r="H60" s="82" t="str">
        <f aca="false">IFERROR(AVERAGE(H55:H59),"")</f>
        <v/>
      </c>
      <c r="I60" s="82" t="str">
        <f aca="false">IFERROR(AVERAGE(I55:I59),"")</f>
        <v/>
      </c>
      <c r="J60" s="82" t="str">
        <f aca="false">IFERROR(AVERAGE(J55:J59),"")</f>
        <v/>
      </c>
      <c r="K60" s="82" t="str">
        <f aca="false">IFERROR(AVERAGE(K55:K59),"")</f>
        <v/>
      </c>
      <c r="L60" s="82" t="str">
        <f aca="false">IFERROR(AVERAGE(L55:L59),"")</f>
        <v/>
      </c>
      <c r="M60" s="82" t="str">
        <f aca="false">IFERROR(AVERAGE(M55:M59),"")</f>
        <v/>
      </c>
      <c r="N60" s="82" t="str">
        <f aca="false">IFERROR(AVERAGE(N55:N59),"")</f>
        <v/>
      </c>
      <c r="O60" s="82" t="str">
        <f aca="false">IFERROR(AVERAGE(O55:O59),"")</f>
        <v/>
      </c>
      <c r="P60" s="82" t="str">
        <f aca="false">IFERROR(AVERAGE(P55:P59),"")</f>
        <v/>
      </c>
      <c r="Q60" s="82" t="str">
        <f aca="false">IFERROR(AVERAGE(Q55:Q59),"")</f>
        <v/>
      </c>
      <c r="R60" s="82" t="str">
        <f aca="false">IFERROR(AVERAGE(R55:R59),"")</f>
        <v/>
      </c>
      <c r="S60" s="82" t="str">
        <f aca="false">IFERROR(AVERAGE(S55:S59),"")</f>
        <v/>
      </c>
      <c r="T60" s="82" t="str">
        <f aca="false">IFERROR(AVERAGE(T55:T59),"")</f>
        <v/>
      </c>
      <c r="U60" s="82" t="str">
        <f aca="false">IFERROR(AVERAGE(U55:U59),"")</f>
        <v/>
      </c>
      <c r="V60" s="82" t="str">
        <f aca="false">IFERROR(AVERAGE(V55:V59),"")</f>
        <v/>
      </c>
      <c r="W60" s="82" t="str">
        <f aca="false">IFERROR(AVERAGE(W55:W59),"")</f>
        <v/>
      </c>
      <c r="X60" s="82" t="str">
        <f aca="false">IFERROR(AVERAGE(X55:X59),"")</f>
        <v/>
      </c>
      <c r="Y60" s="82" t="str">
        <f aca="false">IFERROR(AVERAGE(Y55:Y59),"")</f>
        <v/>
      </c>
      <c r="Z60" s="82" t="str">
        <f aca="false">IFERROR(AVERAGE(Z55:Z59),"")</f>
        <v/>
      </c>
      <c r="AA60" s="82" t="str">
        <f aca="false">IFERROR(AVERAGE(AA55:AA59),"")</f>
        <v/>
      </c>
      <c r="AB60" s="82" t="str">
        <f aca="false">IFERROR(AVERAGE(AB55:AB59),"")</f>
        <v/>
      </c>
      <c r="AC60" s="82" t="str">
        <f aca="false">IFERROR(AVERAGE(AC55:AC59),"")</f>
        <v/>
      </c>
      <c r="AD60" s="82" t="str">
        <f aca="false">IFERROR(AVERAGE(AD55:AD59),"")</f>
        <v/>
      </c>
      <c r="AE60" s="82" t="str">
        <f aca="false">IFERROR(AVERAGE(AE55:AE59),"")</f>
        <v/>
      </c>
      <c r="AF60" s="82" t="str">
        <f aca="false">IFERROR(AVERAGE(AF55:AF59),"")</f>
        <v/>
      </c>
      <c r="AG60" s="82" t="str">
        <f aca="false">IFERROR(AVERAGE(AG55:AG59),"")</f>
        <v/>
      </c>
      <c r="AH60" s="82" t="str">
        <f aca="false">IFERROR(AVERAGE(AH55:AH59),"")</f>
        <v/>
      </c>
      <c r="AI60" s="82" t="str">
        <f aca="false">IFERROR(AVERAGE(AI55:AI59),"")</f>
        <v/>
      </c>
      <c r="AJ60" s="82" t="str">
        <f aca="false">IFERROR(AVERAGE(AJ55:AJ59),"")</f>
        <v/>
      </c>
      <c r="AK60" s="82" t="str">
        <f aca="false">IFERROR(AVERAGE(AK55:AK59),"")</f>
        <v/>
      </c>
      <c r="AL60" s="82" t="str">
        <f aca="false">IFERROR(AVERAGE(AL55:AL59),"")</f>
        <v/>
      </c>
      <c r="AM60" s="82" t="str">
        <f aca="false">IFERROR(AVERAGE(AM55:AM59),"")</f>
        <v/>
      </c>
      <c r="AN60" s="82" t="str">
        <f aca="false">IFERROR(AVERAGE(AN55:AN59),"")</f>
        <v/>
      </c>
      <c r="AO60" s="82" t="str">
        <f aca="false">IFERROR(AVERAGE(AO55:AO59),"")</f>
        <v/>
      </c>
      <c r="AP60" s="82" t="str">
        <f aca="false">IFERROR(AVERAGE(AP55:AP59),"")</f>
        <v/>
      </c>
      <c r="AQ60" s="82" t="str">
        <f aca="false">IFERROR(AVERAGE(AQ55:AQ59),"")</f>
        <v/>
      </c>
      <c r="AR60" s="82" t="str">
        <f aca="false">IFERROR(AVERAGE(AR55:AR59),"")</f>
        <v/>
      </c>
      <c r="AS60" s="82" t="str">
        <f aca="false">IFERROR(AVERAGE(AS55:AS59),"")</f>
        <v/>
      </c>
      <c r="AT60" s="82" t="str">
        <f aca="false">IFERROR(AVERAGE(AT55:AT59),"")</f>
        <v/>
      </c>
      <c r="AU60" s="82" t="str">
        <f aca="false">IFERROR(AVERAGE(AU55:AU59),"")</f>
        <v/>
      </c>
      <c r="AV60" s="82" t="str">
        <f aca="false">IFERROR(AVERAGE(AV55:AV59),"")</f>
        <v/>
      </c>
      <c r="AW60" s="82" t="str">
        <f aca="false">IFERROR(AVERAGE(AW55:AW59),"")</f>
        <v/>
      </c>
      <c r="AX60" s="82" t="str">
        <f aca="false">IFERROR(AVERAGE(AX55:AX59),"")</f>
        <v/>
      </c>
      <c r="AY60" s="82" t="str">
        <f aca="false">IFERROR(AVERAGE(AY55:AY59),"")</f>
        <v/>
      </c>
      <c r="AZ60" s="82" t="str">
        <f aca="false">IFERROR(AVERAGE(AZ55:AZ59),"")</f>
        <v/>
      </c>
      <c r="BA60" s="82" t="str">
        <f aca="false">IFERROR(AVERAGE(BA55:BA59),"")</f>
        <v/>
      </c>
      <c r="BB60" s="82" t="str">
        <f aca="false">IFERROR(AVERAGE(BB55:BB59),"")</f>
        <v/>
      </c>
      <c r="BC60" s="82" t="str">
        <f aca="false">IFERROR(AVERAGE(BC55:BC59),"")</f>
        <v/>
      </c>
      <c r="BD60" s="82" t="str">
        <f aca="false">IFERROR(AVERAGE(BD55:BD59),"")</f>
        <v/>
      </c>
      <c r="BE60" s="82" t="str">
        <f aca="false">IFERROR(AVERAGE(BE55:BE59),"")</f>
        <v/>
      </c>
      <c r="BF60" s="82" t="str">
        <f aca="false">IFERROR(AVERAGE(BF55:BF59),"")</f>
        <v/>
      </c>
      <c r="BG60" s="82" t="str">
        <f aca="false">IFERROR(AVERAGE(BG55:BG59),"")</f>
        <v/>
      </c>
      <c r="BH60" s="82" t="str">
        <f aca="false">IFERROR(AVERAGE(BH55:BH59),"")</f>
        <v/>
      </c>
      <c r="BI60" s="82" t="str">
        <f aca="false">IFERROR(AVERAGE(BI55:BI59),"")</f>
        <v/>
      </c>
      <c r="BJ60" s="82" t="str">
        <f aca="false">IFERROR(AVERAGE(BJ55:BJ59),"")</f>
        <v/>
      </c>
    </row>
    <row r="61" customFormat="false" ht="15" hidden="false" customHeight="false" outlineLevel="0" collapsed="false">
      <c r="B61" s="83" t="s">
        <v>358</v>
      </c>
      <c r="C61" s="84" t="str">
        <f aca="false">IF(COUNTA(C9:C16,C18:C25,C27:C34,C36:C43,C45:C52)=0,"",COUNTA(C9:C16,C18:C25,C27:C34,C36:C43,C45:C52)/40)</f>
        <v/>
      </c>
      <c r="D61" s="84" t="str">
        <f aca="false">IF(COUNTA(D9:D16,D18:D25,D27:D34,D36:D43,D45:D52)=0,"",COUNTA(D9:D16,D18:D25,D27:D34,D36:D43,D45:D52)/40)</f>
        <v/>
      </c>
      <c r="E61" s="84" t="str">
        <f aca="false">IF(COUNTA(E9:E16,E18:E25,E27:E34,E36:E43,E45:E52)=0,"",COUNTA(E9:E16,E18:E25,E27:E34,E36:E43,E45:E52)/40)</f>
        <v/>
      </c>
      <c r="F61" s="84" t="str">
        <f aca="false">IF(COUNTA(F9:F16,F18:F25,F27:F34,F36:F43,F45:F52)=0,"",COUNTA(F9:F16,F18:F25,F27:F34,F36:F43,F45:F52)/40)</f>
        <v/>
      </c>
      <c r="G61" s="84" t="str">
        <f aca="false">IF(COUNTA(G9:G16,G18:G25,G27:G34,G36:G43,G45:G52)=0,"",COUNTA(G9:G16,G18:G25,G27:G34,G36:G43,G45:G52)/40)</f>
        <v/>
      </c>
      <c r="H61" s="84" t="str">
        <f aca="false">IF(COUNTA(H9:H16,H18:H25,H27:H34,H36:H43,H45:H52)=0,"",COUNTA(H9:H16,H18:H25,H27:H34,H36:H43,H45:H52)/40)</f>
        <v/>
      </c>
      <c r="I61" s="84" t="str">
        <f aca="false">IF(COUNTA(I9:I16,I18:I25,I27:I34,I36:I43,I45:I52)=0,"",COUNTA(I9:I16,I18:I25,I27:I34,I36:I43,I45:I52)/40)</f>
        <v/>
      </c>
      <c r="J61" s="84" t="str">
        <f aca="false">IF(COUNTA(J9:J16,J18:J25,J27:J34,J36:J43,J45:J52)=0,"",COUNTA(J9:J16,J18:J25,J27:J34,J36:J43,J45:J52)/40)</f>
        <v/>
      </c>
      <c r="K61" s="84" t="str">
        <f aca="false">IF(COUNTA(K9:K16,K18:K25,K27:K34,K36:K43,K45:K52)=0,"",COUNTA(K9:K16,K18:K25,K27:K34,K36:K43,K45:K52)/40)</f>
        <v/>
      </c>
      <c r="L61" s="84" t="str">
        <f aca="false">IF(COUNTA(L9:L16,L18:L25,L27:L34,L36:L43,L45:L52)=0,"",COUNTA(L9:L16,L18:L25,L27:L34,L36:L43,L45:L52)/40)</f>
        <v/>
      </c>
      <c r="M61" s="84" t="str">
        <f aca="false">IF(COUNTA(M9:M16,M18:M25,M27:M34,M36:M43,M45:M52)=0,"",COUNTA(M9:M16,M18:M25,M27:M34,M36:M43,M45:M52)/40)</f>
        <v/>
      </c>
      <c r="N61" s="84" t="str">
        <f aca="false">IF(COUNTA(N9:N16,N18:N25,N27:N34,N36:N43,N45:N52)=0,"",COUNTA(N9:N16,N18:N25,N27:N34,N36:N43,N45:N52)/40)</f>
        <v/>
      </c>
      <c r="O61" s="84" t="str">
        <f aca="false">IF(COUNTA(O9:O16,O18:O25,O27:O34,O36:O43,O45:O52)=0,"",COUNTA(O9:O16,O18:O25,O27:O34,O36:O43,O45:O52)/40)</f>
        <v/>
      </c>
      <c r="P61" s="84" t="str">
        <f aca="false">IF(COUNTA(P9:P16,P18:P25,P27:P34,P36:P43,P45:P52)=0,"",COUNTA(P9:P16,P18:P25,P27:P34,P36:P43,P45:P52)/40)</f>
        <v/>
      </c>
      <c r="Q61" s="84" t="str">
        <f aca="false">IF(COUNTA(Q9:Q16,Q18:Q25,Q27:Q34,Q36:Q43,Q45:Q52)=0,"",COUNTA(Q9:Q16,Q18:Q25,Q27:Q34,Q36:Q43,Q45:Q52)/40)</f>
        <v/>
      </c>
      <c r="R61" s="84" t="str">
        <f aca="false">IF(COUNTA(R9:R16,R18:R25,R27:R34,R36:R43,R45:R52)=0,"",COUNTA(R9:R16,R18:R25,R27:R34,R36:R43,R45:R52)/40)</f>
        <v/>
      </c>
      <c r="S61" s="84" t="str">
        <f aca="false">IF(COUNTA(S9:S16,S18:S25,S27:S34,S36:S43,S45:S52)=0,"",COUNTA(S9:S16,S18:S25,S27:S34,S36:S43,S45:S52)/40)</f>
        <v/>
      </c>
      <c r="T61" s="84" t="str">
        <f aca="false">IF(COUNTA(T9:T16,T18:T25,T27:T34,T36:T43,T45:T52)=0,"",COUNTA(T9:T16,T18:T25,T27:T34,T36:T43,T45:T52)/40)</f>
        <v/>
      </c>
      <c r="U61" s="84" t="str">
        <f aca="false">IF(COUNTA(U9:U16,U18:U25,U27:U34,U36:U43,U45:U52)=0,"",COUNTA(U9:U16,U18:U25,U27:U34,U36:U43,U45:U52)/40)</f>
        <v/>
      </c>
      <c r="V61" s="84" t="str">
        <f aca="false">IF(COUNTA(V9:V16,V18:V25,V27:V34,V36:V43,V45:V52)=0,"",COUNTA(V9:V16,V18:V25,V27:V34,V36:V43,V45:V52)/40)</f>
        <v/>
      </c>
      <c r="W61" s="84" t="str">
        <f aca="false">IF(COUNTA(W9:W16,W18:W25,W27:W34,W36:W43,W45:W52)=0,"",COUNTA(W9:W16,W18:W25,W27:W34,W36:W43,W45:W52)/40)</f>
        <v/>
      </c>
      <c r="X61" s="84" t="str">
        <f aca="false">IF(COUNTA(X9:X16,X18:X25,X27:X34,X36:X43,X45:X52)=0,"",COUNTA(X9:X16,X18:X25,X27:X34,X36:X43,X45:X52)/40)</f>
        <v/>
      </c>
      <c r="Y61" s="84" t="str">
        <f aca="false">IF(COUNTA(Y9:Y16,Y18:Y25,Y27:Y34,Y36:Y43,Y45:Y52)=0,"",COUNTA(Y9:Y16,Y18:Y25,Y27:Y34,Y36:Y43,Y45:Y52)/40)</f>
        <v/>
      </c>
      <c r="Z61" s="84" t="str">
        <f aca="false">IF(COUNTA(Z9:Z16,Z18:Z25,Z27:Z34,Z36:Z43,Z45:Z52)=0,"",COUNTA(Z9:Z16,Z18:Z25,Z27:Z34,Z36:Z43,Z45:Z52)/40)</f>
        <v/>
      </c>
      <c r="AA61" s="84" t="str">
        <f aca="false">IF(COUNTA(AA9:AA16,AA18:AA25,AA27:AA34,AA36:AA43,AA45:AA52)=0,"",COUNTA(AA9:AA16,AA18:AA25,AA27:AA34,AA36:AA43,AA45:AA52)/40)</f>
        <v/>
      </c>
      <c r="AB61" s="84" t="str">
        <f aca="false">IF(COUNTA(AB9:AB16,AB18:AB25,AB27:AB34,AB36:AB43,AB45:AB52)=0,"",COUNTA(AB9:AB16,AB18:AB25,AB27:AB34,AB36:AB43,AB45:AB52)/40)</f>
        <v/>
      </c>
      <c r="AC61" s="84" t="str">
        <f aca="false">IF(COUNTA(AC9:AC16,AC18:AC25,AC27:AC34,AC36:AC43,AC45:AC52)=0,"",COUNTA(AC9:AC16,AC18:AC25,AC27:AC34,AC36:AC43,AC45:AC52)/40)</f>
        <v/>
      </c>
      <c r="AD61" s="84" t="str">
        <f aca="false">IF(COUNTA(AD9:AD16,AD18:AD25,AD27:AD34,AD36:AD43,AD45:AD52)=0,"",COUNTA(AD9:AD16,AD18:AD25,AD27:AD34,AD36:AD43,AD45:AD52)/40)</f>
        <v/>
      </c>
      <c r="AE61" s="84" t="str">
        <f aca="false">IF(COUNTA(AE9:AE16,AE18:AE25,AE27:AE34,AE36:AE43,AE45:AE52)=0,"",COUNTA(AE9:AE16,AE18:AE25,AE27:AE34,AE36:AE43,AE45:AE52)/40)</f>
        <v/>
      </c>
      <c r="AF61" s="84" t="str">
        <f aca="false">IF(COUNTA(AF9:AF16,AF18:AF25,AF27:AF34,AF36:AF43,AF45:AF52)=0,"",COUNTA(AF9:AF16,AF18:AF25,AF27:AF34,AF36:AF43,AF45:AF52)/40)</f>
        <v/>
      </c>
      <c r="AG61" s="84" t="str">
        <f aca="false">IF(COUNTA(AG9:AG16,AG18:AG25,AG27:AG34,AG36:AG43,AG45:AG52)=0,"",COUNTA(AG9:AG16,AG18:AG25,AG27:AG34,AG36:AG43,AG45:AG52)/40)</f>
        <v/>
      </c>
      <c r="AH61" s="84" t="str">
        <f aca="false">IF(COUNTA(AH9:AH16,AH18:AH25,AH27:AH34,AH36:AH43,AH45:AH52)=0,"",COUNTA(AH9:AH16,AH18:AH25,AH27:AH34,AH36:AH43,AH45:AH52)/40)</f>
        <v/>
      </c>
      <c r="AI61" s="84" t="str">
        <f aca="false">IF(COUNTA(AI9:AI16,AI18:AI25,AI27:AI34,AI36:AI43,AI45:AI52)=0,"",COUNTA(AI9:AI16,AI18:AI25,AI27:AI34,AI36:AI43,AI45:AI52)/40)</f>
        <v/>
      </c>
      <c r="AJ61" s="84" t="str">
        <f aca="false">IF(COUNTA(AJ9:AJ16,AJ18:AJ25,AJ27:AJ34,AJ36:AJ43,AJ45:AJ52)=0,"",COUNTA(AJ9:AJ16,AJ18:AJ25,AJ27:AJ34,AJ36:AJ43,AJ45:AJ52)/40)</f>
        <v/>
      </c>
      <c r="AK61" s="84" t="str">
        <f aca="false">IF(COUNTA(AK9:AK16,AK18:AK25,AK27:AK34,AK36:AK43,AK45:AK52)=0,"",COUNTA(AK9:AK16,AK18:AK25,AK27:AK34,AK36:AK43,AK45:AK52)/40)</f>
        <v/>
      </c>
      <c r="AL61" s="84" t="str">
        <f aca="false">IF(COUNTA(AL9:AL16,AL18:AL25,AL27:AL34,AL36:AL43,AL45:AL52)=0,"",COUNTA(AL9:AL16,AL18:AL25,AL27:AL34,AL36:AL43,AL45:AL52)/40)</f>
        <v/>
      </c>
      <c r="AM61" s="84" t="str">
        <f aca="false">IF(COUNTA(AM9:AM16,AM18:AM25,AM27:AM34,AM36:AM43,AM45:AM52)=0,"",COUNTA(AM9:AM16,AM18:AM25,AM27:AM34,AM36:AM43,AM45:AM52)/40)</f>
        <v/>
      </c>
      <c r="AN61" s="84" t="str">
        <f aca="false">IF(COUNTA(AN9:AN16,AN18:AN25,AN27:AN34,AN36:AN43,AN45:AN52)=0,"",COUNTA(AN9:AN16,AN18:AN25,AN27:AN34,AN36:AN43,AN45:AN52)/40)</f>
        <v/>
      </c>
      <c r="AO61" s="84" t="str">
        <f aca="false">IF(COUNTA(AO9:AO16,AO18:AO25,AO27:AO34,AO36:AO43,AO45:AO52)=0,"",COUNTA(AO9:AO16,AO18:AO25,AO27:AO34,AO36:AO43,AO45:AO52)/40)</f>
        <v/>
      </c>
      <c r="AP61" s="84" t="str">
        <f aca="false">IF(COUNTA(AP9:AP16,AP18:AP25,AP27:AP34,AP36:AP43,AP45:AP52)=0,"",COUNTA(AP9:AP16,AP18:AP25,AP27:AP34,AP36:AP43,AP45:AP52)/40)</f>
        <v/>
      </c>
      <c r="AQ61" s="84" t="str">
        <f aca="false">IF(COUNTA(AQ9:AQ16,AQ18:AQ25,AQ27:AQ34,AQ36:AQ43,AQ45:AQ52)=0,"",COUNTA(AQ9:AQ16,AQ18:AQ25,AQ27:AQ34,AQ36:AQ43,AQ45:AQ52)/40)</f>
        <v/>
      </c>
      <c r="AR61" s="84" t="str">
        <f aca="false">IF(COUNTA(AR9:AR16,AR18:AR25,AR27:AR34,AR36:AR43,AR45:AR52)=0,"",COUNTA(AR9:AR16,AR18:AR25,AR27:AR34,AR36:AR43,AR45:AR52)/40)</f>
        <v/>
      </c>
      <c r="AS61" s="84" t="str">
        <f aca="false">IF(COUNTA(AS9:AS16,AS18:AS25,AS27:AS34,AS36:AS43,AS45:AS52)=0,"",COUNTA(AS9:AS16,AS18:AS25,AS27:AS34,AS36:AS43,AS45:AS52)/40)</f>
        <v/>
      </c>
      <c r="AT61" s="84" t="str">
        <f aca="false">IF(COUNTA(AT9:AT16,AT18:AT25,AT27:AT34,AT36:AT43,AT45:AT52)=0,"",COUNTA(AT9:AT16,AT18:AT25,AT27:AT34,AT36:AT43,AT45:AT52)/40)</f>
        <v/>
      </c>
      <c r="AU61" s="84" t="str">
        <f aca="false">IF(COUNTA(AU9:AU16,AU18:AU25,AU27:AU34,AU36:AU43,AU45:AU52)=0,"",COUNTA(AU9:AU16,AU18:AU25,AU27:AU34,AU36:AU43,AU45:AU52)/40)</f>
        <v/>
      </c>
      <c r="AV61" s="84" t="str">
        <f aca="false">IF(COUNTA(AV9:AV16,AV18:AV25,AV27:AV34,AV36:AV43,AV45:AV52)=0,"",COUNTA(AV9:AV16,AV18:AV25,AV27:AV34,AV36:AV43,AV45:AV52)/40)</f>
        <v/>
      </c>
      <c r="AW61" s="84" t="str">
        <f aca="false">IF(COUNTA(AW9:AW16,AW18:AW25,AW27:AW34,AW36:AW43,AW45:AW52)=0,"",COUNTA(AW9:AW16,AW18:AW25,AW27:AW34,AW36:AW43,AW45:AW52)/40)</f>
        <v/>
      </c>
      <c r="AX61" s="84" t="str">
        <f aca="false">IF(COUNTA(AX9:AX16,AX18:AX25,AX27:AX34,AX36:AX43,AX45:AX52)=0,"",COUNTA(AX9:AX16,AX18:AX25,AX27:AX34,AX36:AX43,AX45:AX52)/40)</f>
        <v/>
      </c>
      <c r="AY61" s="84" t="str">
        <f aca="false">IF(COUNTA(AY9:AY16,AY18:AY25,AY27:AY34,AY36:AY43,AY45:AY52)=0,"",COUNTA(AY9:AY16,AY18:AY25,AY27:AY34,AY36:AY43,AY45:AY52)/40)</f>
        <v/>
      </c>
      <c r="AZ61" s="84" t="str">
        <f aca="false">IF(COUNTA(AZ9:AZ16,AZ18:AZ25,AZ27:AZ34,AZ36:AZ43,AZ45:AZ52)=0,"",COUNTA(AZ9:AZ16,AZ18:AZ25,AZ27:AZ34,AZ36:AZ43,AZ45:AZ52)/40)</f>
        <v/>
      </c>
      <c r="BA61" s="84" t="str">
        <f aca="false">IF(COUNTA(BA9:BA16,BA18:BA25,BA27:BA34,BA36:BA43,BA45:BA52)=0,"",COUNTA(BA9:BA16,BA18:BA25,BA27:BA34,BA36:BA43,BA45:BA52)/40)</f>
        <v/>
      </c>
      <c r="BB61" s="84" t="str">
        <f aca="false">IF(COUNTA(BB9:BB16,BB18:BB25,BB27:BB34,BB36:BB43,BB45:BB52)=0,"",COUNTA(BB9:BB16,BB18:BB25,BB27:BB34,BB36:BB43,BB45:BB52)/40)</f>
        <v/>
      </c>
      <c r="BC61" s="84" t="str">
        <f aca="false">IF(COUNTA(BC9:BC16,BC18:BC25,BC27:BC34,BC36:BC43,BC45:BC52)=0,"",COUNTA(BC9:BC16,BC18:BC25,BC27:BC34,BC36:BC43,BC45:BC52)/40)</f>
        <v/>
      </c>
      <c r="BD61" s="84" t="str">
        <f aca="false">IF(COUNTA(BD9:BD16,BD18:BD25,BD27:BD34,BD36:BD43,BD45:BD52)=0,"",COUNTA(BD9:BD16,BD18:BD25,BD27:BD34,BD36:BD43,BD45:BD52)/40)</f>
        <v/>
      </c>
      <c r="BE61" s="84" t="str">
        <f aca="false">IF(COUNTA(BE9:BE16,BE18:BE25,BE27:BE34,BE36:BE43,BE45:BE52)=0,"",COUNTA(BE9:BE16,BE18:BE25,BE27:BE34,BE36:BE43,BE45:BE52)/40)</f>
        <v/>
      </c>
      <c r="BF61" s="84" t="str">
        <f aca="false">IF(COUNTA(BF9:BF16,BF18:BF25,BF27:BF34,BF36:BF43,BF45:BF52)=0,"",COUNTA(BF9:BF16,BF18:BF25,BF27:BF34,BF36:BF43,BF45:BF52)/40)</f>
        <v/>
      </c>
      <c r="BG61" s="84" t="str">
        <f aca="false">IF(COUNTA(BG9:BG16,BG18:BG25,BG27:BG34,BG36:BG43,BG45:BG52)=0,"",COUNTA(BG9:BG16,BG18:BG25,BG27:BG34,BG36:BG43,BG45:BG52)/40)</f>
        <v/>
      </c>
      <c r="BH61" s="84" t="str">
        <f aca="false">IF(COUNTA(BH9:BH16,BH18:BH25,BH27:BH34,BH36:BH43,BH45:BH52)=0,"",COUNTA(BH9:BH16,BH18:BH25,BH27:BH34,BH36:BH43,BH45:BH52)/40)</f>
        <v/>
      </c>
      <c r="BI61" s="84" t="str">
        <f aca="false">IF(COUNTA(BI9:BI16,BI18:BI25,BI27:BI34,BI36:BI43,BI45:BI52)=0,"",COUNTA(BI9:BI16,BI18:BI25,BI27:BI34,BI36:BI43,BI45:BI52)/40)</f>
        <v/>
      </c>
      <c r="BJ61" s="84" t="str">
        <f aca="false">IF(COUNTA(BJ9:BJ16,BJ18:BJ25,BJ27:BJ34,BJ36:BJ43,BJ45:BJ52)=0,"",COUNTA(BJ9:BJ16,BJ18:BJ25,BJ27:BJ34,BJ36:BJ43,BJ45:BJ52)/40)</f>
        <v/>
      </c>
    </row>
    <row r="62" customFormat="false" ht="15" hidden="false" customHeight="false" outlineLevel="0" collapsed="false">
      <c r="B62" s="85" t="s">
        <v>359</v>
      </c>
      <c r="C62" s="86" t="n">
        <f aca="false">IF(AND(ISNUMBER(C60),C5&lt;&gt;""),1,0)</f>
        <v>0</v>
      </c>
      <c r="D62" s="86" t="n">
        <f aca="false">IF(AND(ISNUMBER(D60),D5&lt;&gt;""),1,0)</f>
        <v>0</v>
      </c>
      <c r="E62" s="86" t="n">
        <f aca="false">IF(AND(ISNUMBER(E60),E5&lt;&gt;""),1,0)</f>
        <v>0</v>
      </c>
      <c r="F62" s="86" t="n">
        <f aca="false">IF(AND(ISNUMBER(F60),F5&lt;&gt;""),1,0)</f>
        <v>0</v>
      </c>
      <c r="G62" s="86" t="n">
        <f aca="false">IF(AND(ISNUMBER(G60),G5&lt;&gt;""),1,0)</f>
        <v>0</v>
      </c>
      <c r="H62" s="86" t="n">
        <f aca="false">IF(AND(ISNUMBER(H60),H5&lt;&gt;""),1,0)</f>
        <v>0</v>
      </c>
      <c r="I62" s="86" t="n">
        <f aca="false">IF(AND(ISNUMBER(I60),I5&lt;&gt;""),1,0)</f>
        <v>0</v>
      </c>
      <c r="J62" s="86" t="n">
        <f aca="false">IF(AND(ISNUMBER(J60),J5&lt;&gt;""),1,0)</f>
        <v>0</v>
      </c>
      <c r="K62" s="86" t="n">
        <f aca="false">IF(AND(ISNUMBER(K60),K5&lt;&gt;""),1,0)</f>
        <v>0</v>
      </c>
      <c r="L62" s="86" t="n">
        <f aca="false">IF(AND(ISNUMBER(L60),L5&lt;&gt;""),1,0)</f>
        <v>0</v>
      </c>
      <c r="M62" s="86" t="n">
        <f aca="false">IF(AND(ISNUMBER(M60),M5&lt;&gt;""),1,0)</f>
        <v>0</v>
      </c>
      <c r="N62" s="86" t="n">
        <f aca="false">IF(AND(ISNUMBER(N60),N5&lt;&gt;""),1,0)</f>
        <v>0</v>
      </c>
      <c r="O62" s="86" t="n">
        <f aca="false">IF(AND(ISNUMBER(O60),O5&lt;&gt;""),1,0)</f>
        <v>0</v>
      </c>
      <c r="P62" s="86" t="n">
        <f aca="false">IF(AND(ISNUMBER(P60),P5&lt;&gt;""),1,0)</f>
        <v>0</v>
      </c>
      <c r="Q62" s="86" t="n">
        <f aca="false">IF(AND(ISNUMBER(Q60),Q5&lt;&gt;""),1,0)</f>
        <v>0</v>
      </c>
      <c r="R62" s="86" t="n">
        <f aca="false">IF(AND(ISNUMBER(R60),R5&lt;&gt;""),1,0)</f>
        <v>0</v>
      </c>
      <c r="S62" s="86" t="n">
        <f aca="false">IF(AND(ISNUMBER(S60),S5&lt;&gt;""),1,0)</f>
        <v>0</v>
      </c>
      <c r="T62" s="86" t="n">
        <f aca="false">IF(AND(ISNUMBER(T60),T5&lt;&gt;""),1,0)</f>
        <v>0</v>
      </c>
      <c r="U62" s="86" t="n">
        <f aca="false">IF(AND(ISNUMBER(U60),U5&lt;&gt;""),1,0)</f>
        <v>0</v>
      </c>
      <c r="V62" s="86" t="n">
        <f aca="false">IF(AND(ISNUMBER(V60),V5&lt;&gt;""),1,0)</f>
        <v>0</v>
      </c>
      <c r="W62" s="86" t="n">
        <f aca="false">IF(AND(ISNUMBER(W60),W5&lt;&gt;""),1,0)</f>
        <v>0</v>
      </c>
      <c r="X62" s="86" t="n">
        <f aca="false">IF(AND(ISNUMBER(X60),X5&lt;&gt;""),1,0)</f>
        <v>0</v>
      </c>
      <c r="Y62" s="86" t="n">
        <f aca="false">IF(AND(ISNUMBER(Y60),Y5&lt;&gt;""),1,0)</f>
        <v>0</v>
      </c>
      <c r="Z62" s="86" t="n">
        <f aca="false">IF(AND(ISNUMBER(Z60),Z5&lt;&gt;""),1,0)</f>
        <v>0</v>
      </c>
      <c r="AA62" s="86" t="n">
        <f aca="false">IF(AND(ISNUMBER(AA60),AA5&lt;&gt;""),1,0)</f>
        <v>0</v>
      </c>
      <c r="AB62" s="86" t="n">
        <f aca="false">IF(AND(ISNUMBER(AB60),AB5&lt;&gt;""),1,0)</f>
        <v>0</v>
      </c>
      <c r="AC62" s="86" t="n">
        <f aca="false">IF(AND(ISNUMBER(AC60),AC5&lt;&gt;""),1,0)</f>
        <v>0</v>
      </c>
      <c r="AD62" s="86" t="n">
        <f aca="false">IF(AND(ISNUMBER(AD60),AD5&lt;&gt;""),1,0)</f>
        <v>0</v>
      </c>
      <c r="AE62" s="86" t="n">
        <f aca="false">IF(AND(ISNUMBER(AE60),AE5&lt;&gt;""),1,0)</f>
        <v>0</v>
      </c>
      <c r="AF62" s="86" t="n">
        <f aca="false">IF(AND(ISNUMBER(AF60),AF5&lt;&gt;""),1,0)</f>
        <v>0</v>
      </c>
      <c r="AG62" s="86" t="n">
        <f aca="false">IF(AND(ISNUMBER(AG60),AG5&lt;&gt;""),1,0)</f>
        <v>0</v>
      </c>
      <c r="AH62" s="86" t="n">
        <f aca="false">IF(AND(ISNUMBER(AH60),AH5&lt;&gt;""),1,0)</f>
        <v>0</v>
      </c>
      <c r="AI62" s="86" t="n">
        <f aca="false">IF(AND(ISNUMBER(AI60),AI5&lt;&gt;""),1,0)</f>
        <v>0</v>
      </c>
      <c r="AJ62" s="86" t="n">
        <f aca="false">IF(AND(ISNUMBER(AJ60),AJ5&lt;&gt;""),1,0)</f>
        <v>0</v>
      </c>
      <c r="AK62" s="86" t="n">
        <f aca="false">IF(AND(ISNUMBER(AK60),AK5&lt;&gt;""),1,0)</f>
        <v>0</v>
      </c>
      <c r="AL62" s="86" t="n">
        <f aca="false">IF(AND(ISNUMBER(AL60),AL5&lt;&gt;""),1,0)</f>
        <v>0</v>
      </c>
      <c r="AM62" s="86" t="n">
        <f aca="false">IF(AND(ISNUMBER(AM60),AM5&lt;&gt;""),1,0)</f>
        <v>0</v>
      </c>
      <c r="AN62" s="86" t="n">
        <f aca="false">IF(AND(ISNUMBER(AN60),AN5&lt;&gt;""),1,0)</f>
        <v>0</v>
      </c>
      <c r="AO62" s="86" t="n">
        <f aca="false">IF(AND(ISNUMBER(AO60),AO5&lt;&gt;""),1,0)</f>
        <v>0</v>
      </c>
      <c r="AP62" s="86" t="n">
        <f aca="false">IF(AND(ISNUMBER(AP60),AP5&lt;&gt;""),1,0)</f>
        <v>0</v>
      </c>
      <c r="AQ62" s="86" t="n">
        <f aca="false">IF(AND(ISNUMBER(AQ60),AQ5&lt;&gt;""),1,0)</f>
        <v>0</v>
      </c>
      <c r="AR62" s="86" t="n">
        <f aca="false">IF(AND(ISNUMBER(AR60),AR5&lt;&gt;""),1,0)</f>
        <v>0</v>
      </c>
      <c r="AS62" s="86" t="n">
        <f aca="false">IF(AND(ISNUMBER(AS60),AS5&lt;&gt;""),1,0)</f>
        <v>0</v>
      </c>
      <c r="AT62" s="86" t="n">
        <f aca="false">IF(AND(ISNUMBER(AT60),AT5&lt;&gt;""),1,0)</f>
        <v>0</v>
      </c>
      <c r="AU62" s="86" t="n">
        <f aca="false">IF(AND(ISNUMBER(AU60),AU5&lt;&gt;""),1,0)</f>
        <v>0</v>
      </c>
      <c r="AV62" s="86" t="n">
        <f aca="false">IF(AND(ISNUMBER(AV60),AV5&lt;&gt;""),1,0)</f>
        <v>0</v>
      </c>
      <c r="AW62" s="86" t="n">
        <f aca="false">IF(AND(ISNUMBER(AW60),AW5&lt;&gt;""),1,0)</f>
        <v>0</v>
      </c>
      <c r="AX62" s="86" t="n">
        <f aca="false">IF(AND(ISNUMBER(AX60),AX5&lt;&gt;""),1,0)</f>
        <v>0</v>
      </c>
      <c r="AY62" s="86" t="n">
        <f aca="false">IF(AND(ISNUMBER(AY60),AY5&lt;&gt;""),1,0)</f>
        <v>0</v>
      </c>
      <c r="AZ62" s="86" t="n">
        <f aca="false">IF(AND(ISNUMBER(AZ60),AZ5&lt;&gt;""),1,0)</f>
        <v>0</v>
      </c>
      <c r="BA62" s="86" t="n">
        <f aca="false">IF(AND(ISNUMBER(BA60),BA5&lt;&gt;""),1,0)</f>
        <v>0</v>
      </c>
      <c r="BB62" s="86" t="n">
        <f aca="false">IF(AND(ISNUMBER(BB60),BB5&lt;&gt;""),1,0)</f>
        <v>0</v>
      </c>
      <c r="BC62" s="86" t="n">
        <f aca="false">IF(AND(ISNUMBER(BC60),BC5&lt;&gt;""),1,0)</f>
        <v>0</v>
      </c>
      <c r="BD62" s="86" t="n">
        <f aca="false">IF(AND(ISNUMBER(BD60),BD5&lt;&gt;""),1,0)</f>
        <v>0</v>
      </c>
      <c r="BE62" s="86" t="n">
        <f aca="false">IF(AND(ISNUMBER(BE60),BE5&lt;&gt;""),1,0)</f>
        <v>0</v>
      </c>
      <c r="BF62" s="86" t="n">
        <f aca="false">IF(AND(ISNUMBER(BF60),BF5&lt;&gt;""),1,0)</f>
        <v>0</v>
      </c>
      <c r="BG62" s="86" t="n">
        <f aca="false">IF(AND(ISNUMBER(BG60),BG5&lt;&gt;""),1,0)</f>
        <v>0</v>
      </c>
      <c r="BH62" s="86" t="n">
        <f aca="false">IF(AND(ISNUMBER(BH60),BH5&lt;&gt;""),1,0)</f>
        <v>0</v>
      </c>
      <c r="BI62" s="86" t="n">
        <f aca="false">IF(AND(ISNUMBER(BI60),BI5&lt;&gt;""),1,0)</f>
        <v>0</v>
      </c>
      <c r="BJ62" s="86" t="n">
        <f aca="false">IF(AND(ISNUMBER(BJ60),BJ5&lt;&gt;""),1,0)</f>
        <v>0</v>
      </c>
    </row>
    <row r="63" customFormat="false" ht="15" hidden="false" customHeight="false" outlineLevel="0" collapsed="false">
      <c r="B63" s="85" t="s">
        <v>360</v>
      </c>
      <c r="C63" s="87" t="str">
        <f aca="false">IF(C62=1,C5&amp;"|"&amp;SUMIFS($C$62:C62,$C$5:C5,C5),"")</f>
        <v/>
      </c>
      <c r="D63" s="87" t="str">
        <f aca="false">IF(D62=1,D5&amp;"|"&amp;SUMIFS($C$62:D62,$C$5:D5,D5),"")</f>
        <v/>
      </c>
      <c r="E63" s="87" t="str">
        <f aca="false">IF(E62=1,E5&amp;"|"&amp;SUMIFS($C$62:E62,$C$5:E5,E5),"")</f>
        <v/>
      </c>
      <c r="F63" s="87" t="str">
        <f aca="false">IF(F62=1,F5&amp;"|"&amp;SUMIFS($C$62:F62,$C$5:F5,F5),"")</f>
        <v/>
      </c>
      <c r="G63" s="87" t="str">
        <f aca="false">IF(G62=1,G5&amp;"|"&amp;SUMIFS($C$62:G62,$C$5:G5,G5),"")</f>
        <v/>
      </c>
      <c r="H63" s="87" t="str">
        <f aca="false">IF(H62=1,H5&amp;"|"&amp;SUMIFS($C$62:H62,$C$5:H5,H5),"")</f>
        <v/>
      </c>
      <c r="I63" s="87" t="str">
        <f aca="false">IF(I62=1,I5&amp;"|"&amp;SUMIFS($C$62:I62,$C$5:I5,I5),"")</f>
        <v/>
      </c>
      <c r="J63" s="87" t="str">
        <f aca="false">IF(J62=1,J5&amp;"|"&amp;SUMIFS($C$62:J62,$C$5:J5,J5),"")</f>
        <v/>
      </c>
      <c r="K63" s="87" t="str">
        <f aca="false">IF(K62=1,K5&amp;"|"&amp;SUMIFS($C$62:K62,$C$5:K5,K5),"")</f>
        <v/>
      </c>
      <c r="L63" s="87" t="str">
        <f aca="false">IF(L62=1,L5&amp;"|"&amp;SUMIFS($C$62:L62,$C$5:L5,L5),"")</f>
        <v/>
      </c>
      <c r="M63" s="87" t="str">
        <f aca="false">IF(M62=1,M5&amp;"|"&amp;SUMIFS($C$62:M62,$C$5:M5,M5),"")</f>
        <v/>
      </c>
      <c r="N63" s="87" t="str">
        <f aca="false">IF(N62=1,N5&amp;"|"&amp;SUMIFS($C$62:N62,$C$5:N5,N5),"")</f>
        <v/>
      </c>
      <c r="O63" s="87" t="str">
        <f aca="false">IF(O62=1,O5&amp;"|"&amp;SUMIFS($C$62:O62,$C$5:O5,O5),"")</f>
        <v/>
      </c>
      <c r="P63" s="87" t="str">
        <f aca="false">IF(P62=1,P5&amp;"|"&amp;SUMIFS($C$62:P62,$C$5:P5,P5),"")</f>
        <v/>
      </c>
      <c r="Q63" s="87" t="str">
        <f aca="false">IF(Q62=1,Q5&amp;"|"&amp;SUMIFS($C$62:Q62,$C$5:Q5,Q5),"")</f>
        <v/>
      </c>
      <c r="R63" s="87" t="str">
        <f aca="false">IF(R62=1,R5&amp;"|"&amp;SUMIFS($C$62:R62,$C$5:R5,R5),"")</f>
        <v/>
      </c>
      <c r="S63" s="87" t="str">
        <f aca="false">IF(S62=1,S5&amp;"|"&amp;SUMIFS($C$62:S62,$C$5:S5,S5),"")</f>
        <v/>
      </c>
      <c r="T63" s="87" t="str">
        <f aca="false">IF(T62=1,T5&amp;"|"&amp;SUMIFS($C$62:T62,$C$5:T5,T5),"")</f>
        <v/>
      </c>
      <c r="U63" s="87" t="str">
        <f aca="false">IF(U62=1,U5&amp;"|"&amp;SUMIFS($C$62:U62,$C$5:U5,U5),"")</f>
        <v/>
      </c>
      <c r="V63" s="87" t="str">
        <f aca="false">IF(V62=1,V5&amp;"|"&amp;SUMIFS($C$62:V62,$C$5:V5,V5),"")</f>
        <v/>
      </c>
      <c r="W63" s="87" t="str">
        <f aca="false">IF(W62=1,W5&amp;"|"&amp;SUMIFS($C$62:W62,$C$5:W5,W5),"")</f>
        <v/>
      </c>
      <c r="X63" s="87" t="str">
        <f aca="false">IF(X62=1,X5&amp;"|"&amp;SUMIFS($C$62:X62,$C$5:X5,X5),"")</f>
        <v/>
      </c>
      <c r="Y63" s="87" t="str">
        <f aca="false">IF(Y62=1,Y5&amp;"|"&amp;SUMIFS($C$62:Y62,$C$5:Y5,Y5),"")</f>
        <v/>
      </c>
      <c r="Z63" s="87" t="str">
        <f aca="false">IF(Z62=1,Z5&amp;"|"&amp;SUMIFS($C$62:Z62,$C$5:Z5,Z5),"")</f>
        <v/>
      </c>
      <c r="AA63" s="87" t="str">
        <f aca="false">IF(AA62=1,AA5&amp;"|"&amp;SUMIFS($C$62:AA62,$C$5:AA5,AA5),"")</f>
        <v/>
      </c>
      <c r="AB63" s="87" t="str">
        <f aca="false">IF(AB62=1,AB5&amp;"|"&amp;SUMIFS($C$62:AB62,$C$5:AB5,AB5),"")</f>
        <v/>
      </c>
      <c r="AC63" s="87" t="str">
        <f aca="false">IF(AC62=1,AC5&amp;"|"&amp;SUMIFS($C$62:AC62,$C$5:AC5,AC5),"")</f>
        <v/>
      </c>
      <c r="AD63" s="87" t="str">
        <f aca="false">IF(AD62=1,AD5&amp;"|"&amp;SUMIFS($C$62:AD62,$C$5:AD5,AD5),"")</f>
        <v/>
      </c>
      <c r="AE63" s="87" t="str">
        <f aca="false">IF(AE62=1,AE5&amp;"|"&amp;SUMIFS($C$62:AE62,$C$5:AE5,AE5),"")</f>
        <v/>
      </c>
      <c r="AF63" s="87" t="str">
        <f aca="false">IF(AF62=1,AF5&amp;"|"&amp;SUMIFS($C$62:AF62,$C$5:AF5,AF5),"")</f>
        <v/>
      </c>
      <c r="AG63" s="87" t="str">
        <f aca="false">IF(AG62=1,AG5&amp;"|"&amp;SUMIFS($C$62:AG62,$C$5:AG5,AG5),"")</f>
        <v/>
      </c>
      <c r="AH63" s="87" t="str">
        <f aca="false">IF(AH62=1,AH5&amp;"|"&amp;SUMIFS($C$62:AH62,$C$5:AH5,AH5),"")</f>
        <v/>
      </c>
      <c r="AI63" s="87" t="str">
        <f aca="false">IF(AI62=1,AI5&amp;"|"&amp;SUMIFS($C$62:AI62,$C$5:AI5,AI5),"")</f>
        <v/>
      </c>
      <c r="AJ63" s="87" t="str">
        <f aca="false">IF(AJ62=1,AJ5&amp;"|"&amp;SUMIFS($C$62:AJ62,$C$5:AJ5,AJ5),"")</f>
        <v/>
      </c>
      <c r="AK63" s="87" t="str">
        <f aca="false">IF(AK62=1,AK5&amp;"|"&amp;SUMIFS($C$62:AK62,$C$5:AK5,AK5),"")</f>
        <v/>
      </c>
      <c r="AL63" s="87" t="str">
        <f aca="false">IF(AL62=1,AL5&amp;"|"&amp;SUMIFS($C$62:AL62,$C$5:AL5,AL5),"")</f>
        <v/>
      </c>
      <c r="AM63" s="87" t="str">
        <f aca="false">IF(AM62=1,AM5&amp;"|"&amp;SUMIFS($C$62:AM62,$C$5:AM5,AM5),"")</f>
        <v/>
      </c>
      <c r="AN63" s="87" t="str">
        <f aca="false">IF(AN62=1,AN5&amp;"|"&amp;SUMIFS($C$62:AN62,$C$5:AN5,AN5),"")</f>
        <v/>
      </c>
      <c r="AO63" s="87" t="str">
        <f aca="false">IF(AO62=1,AO5&amp;"|"&amp;SUMIFS($C$62:AO62,$C$5:AO5,AO5),"")</f>
        <v/>
      </c>
      <c r="AP63" s="87" t="str">
        <f aca="false">IF(AP62=1,AP5&amp;"|"&amp;SUMIFS($C$62:AP62,$C$5:AP5,AP5),"")</f>
        <v/>
      </c>
      <c r="AQ63" s="87" t="str">
        <f aca="false">IF(AQ62=1,AQ5&amp;"|"&amp;SUMIFS($C$62:AQ62,$C$5:AQ5,AQ5),"")</f>
        <v/>
      </c>
      <c r="AR63" s="87" t="str">
        <f aca="false">IF(AR62=1,AR5&amp;"|"&amp;SUMIFS($C$62:AR62,$C$5:AR5,AR5),"")</f>
        <v/>
      </c>
      <c r="AS63" s="87" t="str">
        <f aca="false">IF(AS62=1,AS5&amp;"|"&amp;SUMIFS($C$62:AS62,$C$5:AS5,AS5),"")</f>
        <v/>
      </c>
      <c r="AT63" s="87" t="str">
        <f aca="false">IF(AT62=1,AT5&amp;"|"&amp;SUMIFS($C$62:AT62,$C$5:AT5,AT5),"")</f>
        <v/>
      </c>
      <c r="AU63" s="87" t="str">
        <f aca="false">IF(AU62=1,AU5&amp;"|"&amp;SUMIFS($C$62:AU62,$C$5:AU5,AU5),"")</f>
        <v/>
      </c>
      <c r="AV63" s="87" t="str">
        <f aca="false">IF(AV62=1,AV5&amp;"|"&amp;SUMIFS($C$62:AV62,$C$5:AV5,AV5),"")</f>
        <v/>
      </c>
      <c r="AW63" s="87" t="str">
        <f aca="false">IF(AW62=1,AW5&amp;"|"&amp;SUMIFS($C$62:AW62,$C$5:AW5,AW5),"")</f>
        <v/>
      </c>
      <c r="AX63" s="87" t="str">
        <f aca="false">IF(AX62=1,AX5&amp;"|"&amp;SUMIFS($C$62:AX62,$C$5:AX5,AX5),"")</f>
        <v/>
      </c>
      <c r="AY63" s="87" t="str">
        <f aca="false">IF(AY62=1,AY5&amp;"|"&amp;SUMIFS($C$62:AY62,$C$5:AY5,AY5),"")</f>
        <v/>
      </c>
      <c r="AZ63" s="87" t="str">
        <f aca="false">IF(AZ62=1,AZ5&amp;"|"&amp;SUMIFS($C$62:AZ62,$C$5:AZ5,AZ5),"")</f>
        <v/>
      </c>
      <c r="BA63" s="87" t="str">
        <f aca="false">IF(BA62=1,BA5&amp;"|"&amp;SUMIFS($C$62:BA62,$C$5:BA5,BA5),"")</f>
        <v/>
      </c>
      <c r="BB63" s="87" t="str">
        <f aca="false">IF(BB62=1,BB5&amp;"|"&amp;SUMIFS($C$62:BB62,$C$5:BB5,BB5),"")</f>
        <v/>
      </c>
      <c r="BC63" s="87" t="str">
        <f aca="false">IF(BC62=1,BC5&amp;"|"&amp;SUMIFS($C$62:BC62,$C$5:BC5,BC5),"")</f>
        <v/>
      </c>
      <c r="BD63" s="87" t="str">
        <f aca="false">IF(BD62=1,BD5&amp;"|"&amp;SUMIFS($C$62:BD62,$C$5:BD5,BD5),"")</f>
        <v/>
      </c>
      <c r="BE63" s="87" t="str">
        <f aca="false">IF(BE62=1,BE5&amp;"|"&amp;SUMIFS($C$62:BE62,$C$5:BE5,BE5),"")</f>
        <v/>
      </c>
      <c r="BF63" s="87" t="str">
        <f aca="false">IF(BF62=1,BF5&amp;"|"&amp;SUMIFS($C$62:BF62,$C$5:BF5,BF5),"")</f>
        <v/>
      </c>
      <c r="BG63" s="87" t="str">
        <f aca="false">IF(BG62=1,BG5&amp;"|"&amp;SUMIFS($C$62:BG62,$C$5:BG5,BG5),"")</f>
        <v/>
      </c>
      <c r="BH63" s="87" t="str">
        <f aca="false">IF(BH62=1,BH5&amp;"|"&amp;SUMIFS($C$62:BH62,$C$5:BH5,BH5),"")</f>
        <v/>
      </c>
      <c r="BI63" s="87" t="str">
        <f aca="false">IF(BI62=1,BI5&amp;"|"&amp;SUMIFS($C$62:BI62,$C$5:BI5,BI5),"")</f>
        <v/>
      </c>
      <c r="BJ63" s="87" t="str">
        <f aca="false">IF(BJ62=1,BJ5&amp;"|"&amp;SUMIFS($C$62:BJ62,$C$5:BJ5,BJ5),"")</f>
        <v/>
      </c>
    </row>
  </sheetData>
  <mergeCells count="8">
    <mergeCell ref="A1:N1"/>
    <mergeCell ref="A2:N2"/>
    <mergeCell ref="A3:B3"/>
    <mergeCell ref="A4:B4"/>
    <mergeCell ref="A5:B5"/>
    <mergeCell ref="A6:B6"/>
    <mergeCell ref="A7:B7"/>
    <mergeCell ref="A54:B54"/>
  </mergeCells>
  <conditionalFormatting sqref="C9:BJ52">
    <cfRule type="expression" priority="2" aboveAverage="0" equalAverage="0" bottom="0" percent="0" rank="0" text="" dxfId="0">
      <formula>AND(ISNUMBER(C9),C9=0)</formula>
    </cfRule>
    <cfRule type="expression" priority="3" aboveAverage="0" equalAverage="0" bottom="0" percent="0" rank="0" text="" dxfId="1">
      <formula>AND(ISNUMBER(C9),C9=1)</formula>
    </cfRule>
    <cfRule type="expression" priority="4" aboveAverage="0" equalAverage="0" bottom="0" percent="0" rank="0" text="" dxfId="2">
      <formula>AND(ISNUMBER(C9),C9=2)</formula>
    </cfRule>
    <cfRule type="expression" priority="5" aboveAverage="0" equalAverage="0" bottom="0" percent="0" rank="0" text="" dxfId="3">
      <formula>AND(ISNUMBER(C9),C9=3)</formula>
    </cfRule>
    <cfRule type="expression" priority="6" aboveAverage="0" equalAverage="0" bottom="0" percent="0" rank="0" text="" dxfId="4">
      <formula>AND(ISNUMBER(C9),C9=4)</formula>
    </cfRule>
    <cfRule type="expression" priority="7" aboveAverage="0" equalAverage="0" bottom="0" percent="0" rank="0" text="" dxfId="5">
      <formula>C9="NA"</formula>
    </cfRule>
  </conditionalFormatting>
  <conditionalFormatting sqref="C55:BJ60">
    <cfRule type="expression" priority="8" aboveAverage="0" equalAverage="0" bottom="0" percent="0" rank="0" text="" dxfId="4">
      <formula>AND(ISNUMBER(C55),C55&gt;=Objetivo)</formula>
    </cfRule>
    <cfRule type="expression" priority="9" aboveAverage="0" equalAverage="0" bottom="0" percent="0" rank="0" text="" dxfId="2">
      <formula>AND(ISNUMBER(C55),C55&gt;=Prog_ostrz)</formula>
    </cfRule>
    <cfRule type="expression" priority="10" aboveAverage="0" equalAverage="0" bottom="0" percent="0" rank="0" text="" dxfId="0">
      <formula>ISNUMBER(C55)</formula>
    </cfRule>
  </conditionalFormatting>
  <conditionalFormatting sqref="C61:BJ61">
    <cfRule type="expression" priority="11" aboveAverage="0" equalAverage="0" bottom="0" percent="0" rank="0" text="" dxfId="6">
      <formula>AND(ISNUMBER(C61),C61&lt;1)</formula>
    </cfRule>
  </conditionalFormatting>
  <dataValidations count="4">
    <dataValidation allowBlank="true" error="Introduzca 0, 1, 2, 3, 4 o NA (no aplica)." errorStyle="stop" errorTitle="Puntuación no válida" operator="between" prompt="0 ausente, 1 débil, 2 parcial, 3 bien, 4 ejemplar, NA no aplica" promptTitle="Puntuación" showDropDown="false" showErrorMessage="true" showInputMessage="true" sqref="C9:BJ52" type="list">
      <formula1>"0,1,2,3,4,NA"</formula1>
      <formula2>0</formula2>
    </dataValidation>
    <dataValidation allowBlank="true" error="Elija un área de la lista (la lista está en la hoja Ajustes)." errorStyle="stop" errorTitle="Valor fuera de la lista" operator="between" showDropDown="false" showErrorMessage="true" showInputMessage="false" sqref="C5:BJ5" type="list">
      <formula1>Lista_obszarow</formula1>
      <formula2>0</formula2>
    </dataValidation>
    <dataValidation allowBlank="true" errorStyle="stop" operator="between" showDropDown="false" showErrorMessage="false" showInputMessage="false" sqref="C6:BJ6" type="list">
      <formula1>Lista_audytorow</formula1>
      <formula2>0</formula2>
    </dataValidation>
    <dataValidation allowBlank="true" error="Introduzca una fecha válida, p. ej. 12/03/2026" errorStyle="stop" operator="greaterThan" showDropDown="false" showErrorMessage="true" showInputMessage="false" sqref="C4:BJ4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8"/>
    <pageSetUpPr fitToPage="true"/>
  </sheetPr>
  <dimension ref="A1:O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5" min="1" style="0" width="11.2"/>
  </cols>
  <sheetData>
    <row r="1" customFormat="false" ht="30" hidden="false" customHeight="true" outlineLevel="0" collapsed="false">
      <c r="A1" s="21" t="s">
        <v>361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customFormat="false" ht="15" hidden="false" customHeight="false" outlineLevel="0" collapsed="false">
      <c r="A2" s="88" t="str">
        <f aca="false">Empresa</f>
        <v>Introduzca el nombre de la empresa o del cliente</v>
      </c>
      <c r="B2" s="88"/>
      <c r="C2" s="88"/>
      <c r="D2" s="88"/>
      <c r="E2" s="88"/>
      <c r="F2" s="88"/>
      <c r="G2" s="88"/>
      <c r="H2" s="88"/>
      <c r="M2" s="89" t="s">
        <v>362</v>
      </c>
      <c r="N2" s="90" t="n">
        <f aca="true">TODAY()</f>
        <v>46323</v>
      </c>
    </row>
    <row r="4" customFormat="false" ht="25.5" hidden="false" customHeight="true" outlineLevel="0" collapsed="false">
      <c r="A4" s="91" t="s">
        <v>363</v>
      </c>
      <c r="B4" s="92" t="s">
        <v>64</v>
      </c>
      <c r="C4" s="92"/>
      <c r="D4" s="92"/>
      <c r="E4" s="92"/>
      <c r="F4" s="28" t="s">
        <v>364</v>
      </c>
    </row>
    <row r="6" customFormat="false" ht="18" hidden="false" customHeight="true" outlineLevel="0" collapsed="false">
      <c r="A6" s="93" t="s">
        <v>365</v>
      </c>
      <c r="B6" s="93"/>
      <c r="C6" s="93"/>
      <c r="D6" s="93" t="s">
        <v>366</v>
      </c>
      <c r="E6" s="93"/>
      <c r="F6" s="93"/>
      <c r="G6" s="93" t="s">
        <v>367</v>
      </c>
      <c r="H6" s="93"/>
      <c r="I6" s="93"/>
      <c r="J6" s="93" t="s">
        <v>368</v>
      </c>
      <c r="K6" s="93"/>
      <c r="L6" s="93"/>
      <c r="M6" s="93" t="s">
        <v>369</v>
      </c>
      <c r="N6" s="93"/>
      <c r="O6" s="93"/>
    </row>
    <row r="7" customFormat="false" ht="39.75" hidden="false" customHeight="true" outlineLevel="0" collapsed="false">
      <c r="A7" s="94" t="str">
        <f aca="false">IF(Calculos!$B$4="","–",INDEX(Puntuaciones!$C$60:$BJ$60,Calculos!$B$4))</f>
        <v>–</v>
      </c>
      <c r="B7" s="94"/>
      <c r="C7" s="94"/>
      <c r="D7" s="95" t="str">
        <f aca="false">IF(OR(Calculos!$B$4="",Calculos!$B$5=""),"–",(INDEX(Puntuaciones!$C$60:$BJ$60,Calculos!$B$4)-INDEX(Puntuaciones!$C$60:$BJ$60,Calculos!$B$5))*100)</f>
        <v>–</v>
      </c>
      <c r="E7" s="95"/>
      <c r="F7" s="95"/>
      <c r="G7" s="94" t="n">
        <f aca="false">Objetivo</f>
        <v>0.8</v>
      </c>
      <c r="H7" s="94"/>
      <c r="I7" s="94"/>
      <c r="J7" s="96" t="n">
        <f aca="false">Calculos!$B$3</f>
        <v>0</v>
      </c>
      <c r="K7" s="96"/>
      <c r="L7" s="96"/>
      <c r="M7" s="97" t="str">
        <f aca="false">(COUNTIFS(Plan_accion!$E$10:$E$309,Calculos!$B$2,Plan_accion!$L$10:$L$309,"Abierto")+COUNTIFS(Plan_accion!$E$10:$E$309,Calculos!$B$2,Plan_accion!$L$10:$L$309,"En curso"))&amp;" / "&amp;COUNTIFS(Plan_accion!$E$10:$E$309,Calculos!$B$2,Plan_accion!$N$10:$N$309,"&gt;0")</f>
        <v>0 / 0</v>
      </c>
      <c r="N7" s="97"/>
      <c r="O7" s="97"/>
    </row>
    <row r="8" customFormat="false" ht="18" hidden="false" customHeight="true" outlineLevel="0" collapsed="false">
      <c r="A8" s="98" t="str">
        <f aca="false">IF(Calculos!$B$4="","sin auditorías","auditoría n.º "&amp;INDEX(Puntuaciones!$C$3:$BJ$3,Calculos!$B$4))</f>
        <v>sin auditorías</v>
      </c>
      <c r="B8" s="98"/>
      <c r="C8" s="98"/>
      <c r="D8" s="98" t="str">
        <f aca="false">IF(Calculos!$B$5="","sin auditoría anterior","anterior: "&amp;TEXT(INDEX(Puntuaciones!$C$60:$BJ$60,Calculos!$B$5),"0%"))</f>
        <v>sin auditoría anterior</v>
      </c>
      <c r="E8" s="98"/>
      <c r="F8" s="98"/>
      <c r="G8" s="98" t="str">
        <f aca="false">"umbral de alerta: "&amp;TEXT(Prog_ostrz,"0%")</f>
        <v>umbral de alerta: 60%</v>
      </c>
      <c r="H8" s="98"/>
      <c r="I8" s="98"/>
      <c r="J8" s="98" t="str">
        <f aca="false">IF(Calculos!$B$3=0,"complete la hoja Puntuaciones","en el área seleccionada")</f>
        <v>complete la hoja Puntuaciones</v>
      </c>
      <c r="K8" s="98"/>
      <c r="L8" s="98"/>
      <c r="M8" s="98" t="s">
        <v>370</v>
      </c>
      <c r="N8" s="98"/>
      <c r="O8" s="98"/>
    </row>
    <row r="30" customFormat="false" ht="27.75" hidden="false" customHeight="true" outlineLevel="0" collapsed="false">
      <c r="A30" s="99" t="s">
        <v>134</v>
      </c>
      <c r="B30" s="99"/>
      <c r="C30" s="26" t="s">
        <v>371</v>
      </c>
      <c r="D30" s="26" t="s">
        <v>372</v>
      </c>
      <c r="E30" s="26" t="s">
        <v>373</v>
      </c>
      <c r="F30" s="26" t="s">
        <v>374</v>
      </c>
      <c r="G30" s="26" t="s">
        <v>375</v>
      </c>
      <c r="H30" s="26" t="s">
        <v>376</v>
      </c>
      <c r="I30" s="26"/>
    </row>
    <row r="31" customFormat="false" ht="19.5" hidden="false" customHeight="true" outlineLevel="0" collapsed="false">
      <c r="A31" s="100" t="s">
        <v>73</v>
      </c>
      <c r="B31" s="100"/>
      <c r="C31" s="76" t="str">
        <f aca="false">IF(Calculos!$B$7="","–",INDEX(Puntuaciones!$C$55:$BJ$55,Calculos!$B$7))</f>
        <v>–</v>
      </c>
      <c r="D31" s="76" t="str">
        <f aca="false">IF(Calculos!$B$5="","–",INDEX(Puntuaciones!$C$55:$BJ$55,Calculos!$B$5))</f>
        <v>–</v>
      </c>
      <c r="E31" s="76" t="str">
        <f aca="false">IF(Calculos!$B$4="","–",INDEX(Puntuaciones!$C$55:$BJ$55,Calculos!$B$4))</f>
        <v>–</v>
      </c>
      <c r="F31" s="101" t="str">
        <f aca="false">IF(AND(ISNUMBER(E31),ISNUMBER(D31)),(E31-D31)*100,"–")</f>
        <v>–</v>
      </c>
      <c r="G31" s="101" t="str">
        <f aca="false">IF(ISNUMBER(E31),(E31-Objetivo)*100,"–")</f>
        <v>–</v>
      </c>
      <c r="H31" s="102" t="str">
        <f aca="false">IF(ISNUMBER(E31),IF(E31&gt;=Objetivo,"Objetivo alcanzado",IF(E31&gt;=Prog_ostrz,"A mejorar","Crítico")),"–")</f>
        <v>–</v>
      </c>
      <c r="I31" s="102"/>
    </row>
    <row r="32" customFormat="false" ht="19.5" hidden="false" customHeight="true" outlineLevel="0" collapsed="false">
      <c r="A32" s="103" t="s">
        <v>82</v>
      </c>
      <c r="B32" s="103"/>
      <c r="C32" s="76" t="str">
        <f aca="false">IF(Calculos!$B$7="","–",INDEX(Puntuaciones!$C$56:$BJ$56,Calculos!$B$7))</f>
        <v>–</v>
      </c>
      <c r="D32" s="76" t="str">
        <f aca="false">IF(Calculos!$B$5="","–",INDEX(Puntuaciones!$C$56:$BJ$56,Calculos!$B$5))</f>
        <v>–</v>
      </c>
      <c r="E32" s="76" t="str">
        <f aca="false">IF(Calculos!$B$4="","–",INDEX(Puntuaciones!$C$56:$BJ$56,Calculos!$B$4))</f>
        <v>–</v>
      </c>
      <c r="F32" s="101" t="str">
        <f aca="false">IF(AND(ISNUMBER(E32),ISNUMBER(D32)),(E32-D32)*100,"–")</f>
        <v>–</v>
      </c>
      <c r="G32" s="101" t="str">
        <f aca="false">IF(ISNUMBER(E32),(E32-Objetivo)*100,"–")</f>
        <v>–</v>
      </c>
      <c r="H32" s="102" t="str">
        <f aca="false">IF(ISNUMBER(E32),IF(E32&gt;=Objetivo,"Objetivo alcanzado",IF(E32&gt;=Prog_ostrz,"A mejorar","Crítico")),"–")</f>
        <v>–</v>
      </c>
      <c r="I32" s="102"/>
    </row>
    <row r="33" customFormat="false" ht="19.5" hidden="false" customHeight="true" outlineLevel="0" collapsed="false">
      <c r="A33" s="104" t="s">
        <v>92</v>
      </c>
      <c r="B33" s="104"/>
      <c r="C33" s="76" t="str">
        <f aca="false">IF(Calculos!$B$7="","–",INDEX(Puntuaciones!$C$57:$BJ$57,Calculos!$B$7))</f>
        <v>–</v>
      </c>
      <c r="D33" s="76" t="str">
        <f aca="false">IF(Calculos!$B$5="","–",INDEX(Puntuaciones!$C$57:$BJ$57,Calculos!$B$5))</f>
        <v>–</v>
      </c>
      <c r="E33" s="76" t="str">
        <f aca="false">IF(Calculos!$B$4="","–",INDEX(Puntuaciones!$C$57:$BJ$57,Calculos!$B$4))</f>
        <v>–</v>
      </c>
      <c r="F33" s="101" t="str">
        <f aca="false">IF(AND(ISNUMBER(E33),ISNUMBER(D33)),(E33-D33)*100,"–")</f>
        <v>–</v>
      </c>
      <c r="G33" s="101" t="str">
        <f aca="false">IF(ISNUMBER(E33),(E33-Objetivo)*100,"–")</f>
        <v>–</v>
      </c>
      <c r="H33" s="102" t="str">
        <f aca="false">IF(ISNUMBER(E33),IF(E33&gt;=Objetivo,"Objetivo alcanzado",IF(E33&gt;=Prog_ostrz,"A mejorar","Crítico")),"–")</f>
        <v>–</v>
      </c>
      <c r="I33" s="102"/>
    </row>
    <row r="34" customFormat="false" ht="19.5" hidden="false" customHeight="true" outlineLevel="0" collapsed="false">
      <c r="A34" s="105" t="s">
        <v>99</v>
      </c>
      <c r="B34" s="105"/>
      <c r="C34" s="76" t="str">
        <f aca="false">IF(Calculos!$B$7="","–",INDEX(Puntuaciones!$C$58:$BJ$58,Calculos!$B$7))</f>
        <v>–</v>
      </c>
      <c r="D34" s="76" t="str">
        <f aca="false">IF(Calculos!$B$5="","–",INDEX(Puntuaciones!$C$58:$BJ$58,Calculos!$B$5))</f>
        <v>–</v>
      </c>
      <c r="E34" s="76" t="str">
        <f aca="false">IF(Calculos!$B$4="","–",INDEX(Puntuaciones!$C$58:$BJ$58,Calculos!$B$4))</f>
        <v>–</v>
      </c>
      <c r="F34" s="101" t="str">
        <f aca="false">IF(AND(ISNUMBER(E34),ISNUMBER(D34)),(E34-D34)*100,"–")</f>
        <v>–</v>
      </c>
      <c r="G34" s="101" t="str">
        <f aca="false">IF(ISNUMBER(E34),(E34-Objetivo)*100,"–")</f>
        <v>–</v>
      </c>
      <c r="H34" s="102" t="str">
        <f aca="false">IF(ISNUMBER(E34),IF(E34&gt;=Objetivo,"Objetivo alcanzado",IF(E34&gt;=Prog_ostrz,"A mejorar","Crítico")),"–")</f>
        <v>–</v>
      </c>
      <c r="I34" s="102"/>
    </row>
    <row r="35" customFormat="false" ht="19.5" hidden="false" customHeight="true" outlineLevel="0" collapsed="false">
      <c r="A35" s="106" t="s">
        <v>103</v>
      </c>
      <c r="B35" s="106"/>
      <c r="C35" s="76" t="str">
        <f aca="false">IF(Calculos!$B$7="","–",INDEX(Puntuaciones!$C$59:$BJ$59,Calculos!$B$7))</f>
        <v>–</v>
      </c>
      <c r="D35" s="76" t="str">
        <f aca="false">IF(Calculos!$B$5="","–",INDEX(Puntuaciones!$C$59:$BJ$59,Calculos!$B$5))</f>
        <v>–</v>
      </c>
      <c r="E35" s="76" t="str">
        <f aca="false">IF(Calculos!$B$4="","–",INDEX(Puntuaciones!$C$59:$BJ$59,Calculos!$B$4))</f>
        <v>–</v>
      </c>
      <c r="F35" s="101" t="str">
        <f aca="false">IF(AND(ISNUMBER(E35),ISNUMBER(D35)),(E35-D35)*100,"–")</f>
        <v>–</v>
      </c>
      <c r="G35" s="101" t="str">
        <f aca="false">IF(ISNUMBER(E35),(E35-Objetivo)*100,"–")</f>
        <v>–</v>
      </c>
      <c r="H35" s="102" t="str">
        <f aca="false">IF(ISNUMBER(E35),IF(E35&gt;=Objetivo,"Objetivo alcanzado",IF(E35&gt;=Prog_ostrz,"A mejorar","Crítico")),"–")</f>
        <v>–</v>
      </c>
      <c r="I35" s="102"/>
    </row>
    <row r="36" customFormat="false" ht="19.5" hidden="false" customHeight="true" outlineLevel="0" collapsed="false">
      <c r="A36" s="107" t="s">
        <v>377</v>
      </c>
      <c r="B36" s="107"/>
      <c r="C36" s="108" t="str">
        <f aca="false">IF(Calculos!$B$7="","–",INDEX(Puntuaciones!$C$60:$BJ$60,Calculos!$B$7))</f>
        <v>–</v>
      </c>
      <c r="D36" s="108" t="str">
        <f aca="false">IF(Calculos!$B$5="","–",INDEX(Puntuaciones!$C$60:$BJ$60,Calculos!$B$5))</f>
        <v>–</v>
      </c>
      <c r="E36" s="108" t="str">
        <f aca="false">IF(Calculos!$B$4="","–",INDEX(Puntuaciones!$C$60:$BJ$60,Calculos!$B$4))</f>
        <v>–</v>
      </c>
      <c r="F36" s="101" t="str">
        <f aca="false">IF(AND(ISNUMBER(E36),ISNUMBER(D36)),(E36-D36)*100,"–")</f>
        <v>–</v>
      </c>
      <c r="G36" s="101" t="str">
        <f aca="false">IF(ISNUMBER(E36),(E36-Objetivo)*100,"–")</f>
        <v>–</v>
      </c>
      <c r="H36" s="102" t="str">
        <f aca="false">IF(ISNUMBER(E36),IF(E36&gt;=Objetivo,"Objetivo alcanzado",IF(E36&gt;=Prog_ostrz,"A mejorar","Crítico")),"–")</f>
        <v>–</v>
      </c>
      <c r="I36" s="102"/>
    </row>
    <row r="39" customFormat="false" ht="15" hidden="false" customHeight="false" outlineLevel="0" collapsed="false">
      <c r="A39" s="29" t="s">
        <v>378</v>
      </c>
    </row>
    <row r="40" customFormat="false" ht="15" hidden="false" customHeight="true" outlineLevel="0" collapsed="false">
      <c r="A40" s="26" t="s">
        <v>379</v>
      </c>
      <c r="B40" s="26" t="s">
        <v>343</v>
      </c>
      <c r="C40" s="26"/>
      <c r="D40" s="26"/>
      <c r="E40" s="26" t="s">
        <v>380</v>
      </c>
      <c r="F40" s="26" t="s">
        <v>381</v>
      </c>
      <c r="G40" s="26" t="s">
        <v>376</v>
      </c>
      <c r="H40" s="26"/>
    </row>
    <row r="41" customFormat="false" ht="18" hidden="false" customHeight="true" outlineLevel="0" collapsed="false">
      <c r="A41" s="109" t="str">
        <f aca="false">IF(E41="","",1)</f>
        <v/>
      </c>
      <c r="B41" s="15" t="str">
        <f aca="false">IFERROR(INDEX(Calculos!$A$34:$A$48,MATCH(LARGE(Calculos!$E$34:$E$48,1),Calculos!$E$34:$E$48,0)),"")</f>
        <v/>
      </c>
      <c r="C41" s="15"/>
      <c r="D41" s="15"/>
      <c r="E41" s="108" t="str">
        <f aca="false">IFERROR(INDEX(Calculos!$D$34:$D$48,MATCH(LARGE(Calculos!$E$34:$E$48,1),Calculos!$E$34:$E$48,0)),"")</f>
        <v/>
      </c>
      <c r="F41" s="109" t="str">
        <f aca="false">IFERROR(INDEX(Calculos!$B$34:$B$48,MATCH(LARGE(Calculos!$E$34:$E$48,1),Calculos!$E$34:$E$48,0)),"")</f>
        <v/>
      </c>
      <c r="G41" s="109" t="str">
        <f aca="false">IF(ISNUMBER(E41),IF(E41&gt;=Objetivo,"Objetivo alcanzado",IF(E41&gt;=Prog_ostrz,"A mejorar","Crítico")),"")</f>
        <v/>
      </c>
      <c r="H41" s="109"/>
    </row>
    <row r="42" customFormat="false" ht="18" hidden="false" customHeight="true" outlineLevel="0" collapsed="false">
      <c r="A42" s="109" t="str">
        <f aca="false">IF(E42="","",2)</f>
        <v/>
      </c>
      <c r="B42" s="15" t="str">
        <f aca="false">IFERROR(INDEX(Calculos!$A$34:$A$48,MATCH(LARGE(Calculos!$E$34:$E$48,2),Calculos!$E$34:$E$48,0)),"")</f>
        <v/>
      </c>
      <c r="C42" s="15"/>
      <c r="D42" s="15"/>
      <c r="E42" s="108" t="str">
        <f aca="false">IFERROR(INDEX(Calculos!$D$34:$D$48,MATCH(LARGE(Calculos!$E$34:$E$48,2),Calculos!$E$34:$E$48,0)),"")</f>
        <v/>
      </c>
      <c r="F42" s="109" t="str">
        <f aca="false">IFERROR(INDEX(Calculos!$B$34:$B$48,MATCH(LARGE(Calculos!$E$34:$E$48,2),Calculos!$E$34:$E$48,0)),"")</f>
        <v/>
      </c>
      <c r="G42" s="109" t="str">
        <f aca="false">IF(ISNUMBER(E42),IF(E42&gt;=Objetivo,"Objetivo alcanzado",IF(E42&gt;=Prog_ostrz,"A mejorar","Crítico")),"")</f>
        <v/>
      </c>
      <c r="H42" s="109"/>
    </row>
    <row r="43" customFormat="false" ht="18" hidden="false" customHeight="true" outlineLevel="0" collapsed="false">
      <c r="A43" s="109" t="str">
        <f aca="false">IF(E43="","",3)</f>
        <v/>
      </c>
      <c r="B43" s="15" t="str">
        <f aca="false">IFERROR(INDEX(Calculos!$A$34:$A$48,MATCH(LARGE(Calculos!$E$34:$E$48,3),Calculos!$E$34:$E$48,0)),"")</f>
        <v/>
      </c>
      <c r="C43" s="15"/>
      <c r="D43" s="15"/>
      <c r="E43" s="108" t="str">
        <f aca="false">IFERROR(INDEX(Calculos!$D$34:$D$48,MATCH(LARGE(Calculos!$E$34:$E$48,3),Calculos!$E$34:$E$48,0)),"")</f>
        <v/>
      </c>
      <c r="F43" s="109" t="str">
        <f aca="false">IFERROR(INDEX(Calculos!$B$34:$B$48,MATCH(LARGE(Calculos!$E$34:$E$48,3),Calculos!$E$34:$E$48,0)),"")</f>
        <v/>
      </c>
      <c r="G43" s="109" t="str">
        <f aca="false">IF(ISNUMBER(E43),IF(E43&gt;=Objetivo,"Objetivo alcanzado",IF(E43&gt;=Prog_ostrz,"A mejorar","Crítico")),"")</f>
        <v/>
      </c>
      <c r="H43" s="109"/>
    </row>
    <row r="44" customFormat="false" ht="18" hidden="false" customHeight="true" outlineLevel="0" collapsed="false">
      <c r="A44" s="109" t="str">
        <f aca="false">IF(E44="","",4)</f>
        <v/>
      </c>
      <c r="B44" s="15" t="str">
        <f aca="false">IFERROR(INDEX(Calculos!$A$34:$A$48,MATCH(LARGE(Calculos!$E$34:$E$48,4),Calculos!$E$34:$E$48,0)),"")</f>
        <v/>
      </c>
      <c r="C44" s="15"/>
      <c r="D44" s="15"/>
      <c r="E44" s="108" t="str">
        <f aca="false">IFERROR(INDEX(Calculos!$D$34:$D$48,MATCH(LARGE(Calculos!$E$34:$E$48,4),Calculos!$E$34:$E$48,0)),"")</f>
        <v/>
      </c>
      <c r="F44" s="109" t="str">
        <f aca="false">IFERROR(INDEX(Calculos!$B$34:$B$48,MATCH(LARGE(Calculos!$E$34:$E$48,4),Calculos!$E$34:$E$48,0)),"")</f>
        <v/>
      </c>
      <c r="G44" s="109" t="str">
        <f aca="false">IF(ISNUMBER(E44),IF(E44&gt;=Objetivo,"Objetivo alcanzado",IF(E44&gt;=Prog_ostrz,"A mejorar","Crítico")),"")</f>
        <v/>
      </c>
      <c r="H44" s="109"/>
    </row>
    <row r="45" customFormat="false" ht="18" hidden="false" customHeight="true" outlineLevel="0" collapsed="false">
      <c r="A45" s="109" t="str">
        <f aca="false">IF(E45="","",5)</f>
        <v/>
      </c>
      <c r="B45" s="15" t="str">
        <f aca="false">IFERROR(INDEX(Calculos!$A$34:$A$48,MATCH(LARGE(Calculos!$E$34:$E$48,5),Calculos!$E$34:$E$48,0)),"")</f>
        <v/>
      </c>
      <c r="C45" s="15"/>
      <c r="D45" s="15"/>
      <c r="E45" s="108" t="str">
        <f aca="false">IFERROR(INDEX(Calculos!$D$34:$D$48,MATCH(LARGE(Calculos!$E$34:$E$48,5),Calculos!$E$34:$E$48,0)),"")</f>
        <v/>
      </c>
      <c r="F45" s="109" t="str">
        <f aca="false">IFERROR(INDEX(Calculos!$B$34:$B$48,MATCH(LARGE(Calculos!$E$34:$E$48,5),Calculos!$E$34:$E$48,0)),"")</f>
        <v/>
      </c>
      <c r="G45" s="109" t="str">
        <f aca="false">IF(ISNUMBER(E45),IF(E45&gt;=Objetivo,"Objetivo alcanzado",IF(E45&gt;=Prog_ostrz,"A mejorar","Crítico")),"")</f>
        <v/>
      </c>
      <c r="H45" s="109"/>
    </row>
    <row r="46" customFormat="false" ht="18" hidden="false" customHeight="true" outlineLevel="0" collapsed="false">
      <c r="A46" s="109" t="str">
        <f aca="false">IF(E46="","",6)</f>
        <v/>
      </c>
      <c r="B46" s="15" t="str">
        <f aca="false">IFERROR(INDEX(Calculos!$A$34:$A$48,MATCH(LARGE(Calculos!$E$34:$E$48,6),Calculos!$E$34:$E$48,0)),"")</f>
        <v/>
      </c>
      <c r="C46" s="15"/>
      <c r="D46" s="15"/>
      <c r="E46" s="108" t="str">
        <f aca="false">IFERROR(INDEX(Calculos!$D$34:$D$48,MATCH(LARGE(Calculos!$E$34:$E$48,6),Calculos!$E$34:$E$48,0)),"")</f>
        <v/>
      </c>
      <c r="F46" s="109" t="str">
        <f aca="false">IFERROR(INDEX(Calculos!$B$34:$B$48,MATCH(LARGE(Calculos!$E$34:$E$48,6),Calculos!$E$34:$E$48,0)),"")</f>
        <v/>
      </c>
      <c r="G46" s="109" t="str">
        <f aca="false">IF(ISNUMBER(E46),IF(E46&gt;=Objetivo,"Objetivo alcanzado",IF(E46&gt;=Prog_ostrz,"A mejorar","Crítico")),"")</f>
        <v/>
      </c>
      <c r="H46" s="109"/>
    </row>
    <row r="47" customFormat="false" ht="18" hidden="false" customHeight="true" outlineLevel="0" collapsed="false">
      <c r="A47" s="109" t="str">
        <f aca="false">IF(E47="","",7)</f>
        <v/>
      </c>
      <c r="B47" s="15" t="str">
        <f aca="false">IFERROR(INDEX(Calculos!$A$34:$A$48,MATCH(LARGE(Calculos!$E$34:$E$48,7),Calculos!$E$34:$E$48,0)),"")</f>
        <v/>
      </c>
      <c r="C47" s="15"/>
      <c r="D47" s="15"/>
      <c r="E47" s="108" t="str">
        <f aca="false">IFERROR(INDEX(Calculos!$D$34:$D$48,MATCH(LARGE(Calculos!$E$34:$E$48,7),Calculos!$E$34:$E$48,0)),"")</f>
        <v/>
      </c>
      <c r="F47" s="109" t="str">
        <f aca="false">IFERROR(INDEX(Calculos!$B$34:$B$48,MATCH(LARGE(Calculos!$E$34:$E$48,7),Calculos!$E$34:$E$48,0)),"")</f>
        <v/>
      </c>
      <c r="G47" s="109" t="str">
        <f aca="false">IF(ISNUMBER(E47),IF(E47&gt;=Objetivo,"Objetivo alcanzado",IF(E47&gt;=Prog_ostrz,"A mejorar","Crítico")),"")</f>
        <v/>
      </c>
      <c r="H47" s="109"/>
    </row>
    <row r="48" customFormat="false" ht="18" hidden="false" customHeight="true" outlineLevel="0" collapsed="false">
      <c r="A48" s="109" t="str">
        <f aca="false">IF(E48="","",8)</f>
        <v/>
      </c>
      <c r="B48" s="15" t="str">
        <f aca="false">IFERROR(INDEX(Calculos!$A$34:$A$48,MATCH(LARGE(Calculos!$E$34:$E$48,8),Calculos!$E$34:$E$48,0)),"")</f>
        <v/>
      </c>
      <c r="C48" s="15"/>
      <c r="D48" s="15"/>
      <c r="E48" s="108" t="str">
        <f aca="false">IFERROR(INDEX(Calculos!$D$34:$D$48,MATCH(LARGE(Calculos!$E$34:$E$48,8),Calculos!$E$34:$E$48,0)),"")</f>
        <v/>
      </c>
      <c r="F48" s="109" t="str">
        <f aca="false">IFERROR(INDEX(Calculos!$B$34:$B$48,MATCH(LARGE(Calculos!$E$34:$E$48,8),Calculos!$E$34:$E$48,0)),"")</f>
        <v/>
      </c>
      <c r="G48" s="109" t="str">
        <f aca="false">IF(ISNUMBER(E48),IF(E48&gt;=Objetivo,"Objetivo alcanzado",IF(E48&gt;=Prog_ostrz,"A mejorar","Crítico")),"")</f>
        <v/>
      </c>
      <c r="H48" s="109"/>
    </row>
    <row r="49" customFormat="false" ht="18" hidden="false" customHeight="true" outlineLevel="0" collapsed="false">
      <c r="A49" s="109" t="str">
        <f aca="false">IF(E49="","",9)</f>
        <v/>
      </c>
      <c r="B49" s="15" t="str">
        <f aca="false">IFERROR(INDEX(Calculos!$A$34:$A$48,MATCH(LARGE(Calculos!$E$34:$E$48,9),Calculos!$E$34:$E$48,0)),"")</f>
        <v/>
      </c>
      <c r="C49" s="15"/>
      <c r="D49" s="15"/>
      <c r="E49" s="108" t="str">
        <f aca="false">IFERROR(INDEX(Calculos!$D$34:$D$48,MATCH(LARGE(Calculos!$E$34:$E$48,9),Calculos!$E$34:$E$48,0)),"")</f>
        <v/>
      </c>
      <c r="F49" s="109" t="str">
        <f aca="false">IFERROR(INDEX(Calculos!$B$34:$B$48,MATCH(LARGE(Calculos!$E$34:$E$48,9),Calculos!$E$34:$E$48,0)),"")</f>
        <v/>
      </c>
      <c r="G49" s="109" t="str">
        <f aca="false">IF(ISNUMBER(E49),IF(E49&gt;=Objetivo,"Objetivo alcanzado",IF(E49&gt;=Prog_ostrz,"A mejorar","Crítico")),"")</f>
        <v/>
      </c>
      <c r="H49" s="109"/>
    </row>
    <row r="50" customFormat="false" ht="18" hidden="false" customHeight="true" outlineLevel="0" collapsed="false">
      <c r="A50" s="109" t="str">
        <f aca="false">IF(E50="","",10)</f>
        <v/>
      </c>
      <c r="B50" s="15" t="str">
        <f aca="false">IFERROR(INDEX(Calculos!$A$34:$A$48,MATCH(LARGE(Calculos!$E$34:$E$48,10),Calculos!$E$34:$E$48,0)),"")</f>
        <v/>
      </c>
      <c r="C50" s="15"/>
      <c r="D50" s="15"/>
      <c r="E50" s="108" t="str">
        <f aca="false">IFERROR(INDEX(Calculos!$D$34:$D$48,MATCH(LARGE(Calculos!$E$34:$E$48,10),Calculos!$E$34:$E$48,0)),"")</f>
        <v/>
      </c>
      <c r="F50" s="109" t="str">
        <f aca="false">IFERROR(INDEX(Calculos!$B$34:$B$48,MATCH(LARGE(Calculos!$E$34:$E$48,10),Calculos!$E$34:$E$48,0)),"")</f>
        <v/>
      </c>
      <c r="G50" s="109" t="str">
        <f aca="false">IF(ISNUMBER(E50),IF(E50&gt;=Objetivo,"Objetivo alcanzado",IF(E50&gt;=Prog_ostrz,"A mejorar","Crítico")),"")</f>
        <v/>
      </c>
      <c r="H50" s="109"/>
    </row>
    <row r="51" customFormat="false" ht="18" hidden="false" customHeight="true" outlineLevel="0" collapsed="false">
      <c r="A51" s="109" t="str">
        <f aca="false">IF(E51="","",11)</f>
        <v/>
      </c>
      <c r="B51" s="15" t="str">
        <f aca="false">IFERROR(INDEX(Calculos!$A$34:$A$48,MATCH(LARGE(Calculos!$E$34:$E$48,11),Calculos!$E$34:$E$48,0)),"")</f>
        <v/>
      </c>
      <c r="C51" s="15"/>
      <c r="D51" s="15"/>
      <c r="E51" s="108" t="str">
        <f aca="false">IFERROR(INDEX(Calculos!$D$34:$D$48,MATCH(LARGE(Calculos!$E$34:$E$48,11),Calculos!$E$34:$E$48,0)),"")</f>
        <v/>
      </c>
      <c r="F51" s="109" t="str">
        <f aca="false">IFERROR(INDEX(Calculos!$B$34:$B$48,MATCH(LARGE(Calculos!$E$34:$E$48,11),Calculos!$E$34:$E$48,0)),"")</f>
        <v/>
      </c>
      <c r="G51" s="109" t="str">
        <f aca="false">IF(ISNUMBER(E51),IF(E51&gt;=Objetivo,"Objetivo alcanzado",IF(E51&gt;=Prog_ostrz,"A mejorar","Crítico")),"")</f>
        <v/>
      </c>
      <c r="H51" s="109"/>
    </row>
    <row r="52" customFormat="false" ht="18" hidden="false" customHeight="true" outlineLevel="0" collapsed="false">
      <c r="A52" s="109" t="str">
        <f aca="false">IF(E52="","",12)</f>
        <v/>
      </c>
      <c r="B52" s="15" t="str">
        <f aca="false">IFERROR(INDEX(Calculos!$A$34:$A$48,MATCH(LARGE(Calculos!$E$34:$E$48,12),Calculos!$E$34:$E$48,0)),"")</f>
        <v/>
      </c>
      <c r="C52" s="15"/>
      <c r="D52" s="15"/>
      <c r="E52" s="108" t="str">
        <f aca="false">IFERROR(INDEX(Calculos!$D$34:$D$48,MATCH(LARGE(Calculos!$E$34:$E$48,12),Calculos!$E$34:$E$48,0)),"")</f>
        <v/>
      </c>
      <c r="F52" s="109" t="str">
        <f aca="false">IFERROR(INDEX(Calculos!$B$34:$B$48,MATCH(LARGE(Calculos!$E$34:$E$48,12),Calculos!$E$34:$E$48,0)),"")</f>
        <v/>
      </c>
      <c r="G52" s="109" t="str">
        <f aca="false">IF(ISNUMBER(E52),IF(E52&gt;=Objetivo,"Objetivo alcanzado",IF(E52&gt;=Prog_ostrz,"A mejorar","Crítico")),"")</f>
        <v/>
      </c>
      <c r="H52" s="109"/>
    </row>
    <row r="53" customFormat="false" ht="18" hidden="false" customHeight="true" outlineLevel="0" collapsed="false">
      <c r="A53" s="109" t="str">
        <f aca="false">IF(E53="","",13)</f>
        <v/>
      </c>
      <c r="B53" s="15" t="str">
        <f aca="false">IFERROR(INDEX(Calculos!$A$34:$A$48,MATCH(LARGE(Calculos!$E$34:$E$48,13),Calculos!$E$34:$E$48,0)),"")</f>
        <v/>
      </c>
      <c r="C53" s="15"/>
      <c r="D53" s="15"/>
      <c r="E53" s="108" t="str">
        <f aca="false">IFERROR(INDEX(Calculos!$D$34:$D$48,MATCH(LARGE(Calculos!$E$34:$E$48,13),Calculos!$E$34:$E$48,0)),"")</f>
        <v/>
      </c>
      <c r="F53" s="109" t="str">
        <f aca="false">IFERROR(INDEX(Calculos!$B$34:$B$48,MATCH(LARGE(Calculos!$E$34:$E$48,13),Calculos!$E$34:$E$48,0)),"")</f>
        <v/>
      </c>
      <c r="G53" s="109" t="str">
        <f aca="false">IF(ISNUMBER(E53),IF(E53&gt;=Objetivo,"Objetivo alcanzado",IF(E53&gt;=Prog_ostrz,"A mejorar","Crítico")),"")</f>
        <v/>
      </c>
      <c r="H53" s="109"/>
    </row>
    <row r="54" customFormat="false" ht="18" hidden="false" customHeight="true" outlineLevel="0" collapsed="false">
      <c r="A54" s="109" t="str">
        <f aca="false">IF(E54="","",14)</f>
        <v/>
      </c>
      <c r="B54" s="15" t="str">
        <f aca="false">IFERROR(INDEX(Calculos!$A$34:$A$48,MATCH(LARGE(Calculos!$E$34:$E$48,14),Calculos!$E$34:$E$48,0)),"")</f>
        <v/>
      </c>
      <c r="C54" s="15"/>
      <c r="D54" s="15"/>
      <c r="E54" s="108" t="str">
        <f aca="false">IFERROR(INDEX(Calculos!$D$34:$D$48,MATCH(LARGE(Calculos!$E$34:$E$48,14),Calculos!$E$34:$E$48,0)),"")</f>
        <v/>
      </c>
      <c r="F54" s="109" t="str">
        <f aca="false">IFERROR(INDEX(Calculos!$B$34:$B$48,MATCH(LARGE(Calculos!$E$34:$E$48,14),Calculos!$E$34:$E$48,0)),"")</f>
        <v/>
      </c>
      <c r="G54" s="109" t="str">
        <f aca="false">IF(ISNUMBER(E54),IF(E54&gt;=Objetivo,"Objetivo alcanzado",IF(E54&gt;=Prog_ostrz,"A mejorar","Crítico")),"")</f>
        <v/>
      </c>
      <c r="H54" s="109"/>
    </row>
    <row r="55" customFormat="false" ht="18" hidden="false" customHeight="true" outlineLevel="0" collapsed="false">
      <c r="A55" s="109" t="str">
        <f aca="false">IF(E55="","",15)</f>
        <v/>
      </c>
      <c r="B55" s="15" t="str">
        <f aca="false">IFERROR(INDEX(Calculos!$A$34:$A$48,MATCH(LARGE(Calculos!$E$34:$E$48,15),Calculos!$E$34:$E$48,0)),"")</f>
        <v/>
      </c>
      <c r="C55" s="15"/>
      <c r="D55" s="15"/>
      <c r="E55" s="108" t="str">
        <f aca="false">IFERROR(INDEX(Calculos!$D$34:$D$48,MATCH(LARGE(Calculos!$E$34:$E$48,15),Calculos!$E$34:$E$48,0)),"")</f>
        <v/>
      </c>
      <c r="F55" s="109" t="str">
        <f aca="false">IFERROR(INDEX(Calculos!$B$34:$B$48,MATCH(LARGE(Calculos!$E$34:$E$48,15),Calculos!$E$34:$E$48,0)),"")</f>
        <v/>
      </c>
      <c r="G55" s="109" t="str">
        <f aca="false">IF(ISNUMBER(E55),IF(E55&gt;=Objetivo,"Objetivo alcanzado",IF(E55&gt;=Prog_ostrz,"A mejorar","Crítico")),"")</f>
        <v/>
      </c>
      <c r="H55" s="109"/>
    </row>
  </sheetData>
  <mergeCells count="64">
    <mergeCell ref="A1:O1"/>
    <mergeCell ref="A2:H2"/>
    <mergeCell ref="B4:E4"/>
    <mergeCell ref="A6:C6"/>
    <mergeCell ref="D6:F6"/>
    <mergeCell ref="G6:I6"/>
    <mergeCell ref="J6:L6"/>
    <mergeCell ref="M6:O6"/>
    <mergeCell ref="A7:C7"/>
    <mergeCell ref="D7:F7"/>
    <mergeCell ref="G7:I7"/>
    <mergeCell ref="J7:L7"/>
    <mergeCell ref="M7:O7"/>
    <mergeCell ref="A8:C8"/>
    <mergeCell ref="D8:F8"/>
    <mergeCell ref="G8:I8"/>
    <mergeCell ref="J8:L8"/>
    <mergeCell ref="M8:O8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B40:D40"/>
    <mergeCell ref="G40:H40"/>
    <mergeCell ref="B41:D41"/>
    <mergeCell ref="G41:H41"/>
    <mergeCell ref="B42:D42"/>
    <mergeCell ref="G42:H42"/>
    <mergeCell ref="B43:D43"/>
    <mergeCell ref="G43:H43"/>
    <mergeCell ref="B44:D44"/>
    <mergeCell ref="G44:H44"/>
    <mergeCell ref="B45:D45"/>
    <mergeCell ref="G45:H45"/>
    <mergeCell ref="B46:D46"/>
    <mergeCell ref="G46:H46"/>
    <mergeCell ref="B47:D47"/>
    <mergeCell ref="G47:H47"/>
    <mergeCell ref="B48:D48"/>
    <mergeCell ref="G48:H48"/>
    <mergeCell ref="B49:D49"/>
    <mergeCell ref="G49:H49"/>
    <mergeCell ref="B50:D50"/>
    <mergeCell ref="G50:H50"/>
    <mergeCell ref="B51:D51"/>
    <mergeCell ref="G51:H51"/>
    <mergeCell ref="B52:D52"/>
    <mergeCell ref="G52:H52"/>
    <mergeCell ref="B53:D53"/>
    <mergeCell ref="G53:H53"/>
    <mergeCell ref="B54:D54"/>
    <mergeCell ref="G54:H54"/>
    <mergeCell ref="B55:D55"/>
    <mergeCell ref="G55:H55"/>
  </mergeCells>
  <conditionalFormatting sqref="A7:C7">
    <cfRule type="expression" priority="2" aboveAverage="0" equalAverage="0" bottom="0" percent="0" rank="0" text="" dxfId="7">
      <formula>AND(ISNUMBER($A$7),$A$7&gt;=Objetivo)</formula>
    </cfRule>
    <cfRule type="expression" priority="3" aboveAverage="0" equalAverage="0" bottom="0" percent="0" rank="0" text="" dxfId="8">
      <formula>AND(ISNUMBER($A$7),$A$7&gt;=Prog_ostrz)</formula>
    </cfRule>
    <cfRule type="expression" priority="4" aboveAverage="0" equalAverage="0" bottom="0" percent="0" rank="0" text="" dxfId="9">
      <formula>ISNUMBER($A$7)</formula>
    </cfRule>
  </conditionalFormatting>
  <conditionalFormatting sqref="D7:F7">
    <cfRule type="expression" priority="5" aboveAverage="0" equalAverage="0" bottom="0" percent="0" rank="0" text="" dxfId="7">
      <formula>AND(ISNUMBER($D$7),$D$7&gt;0)</formula>
    </cfRule>
    <cfRule type="expression" priority="6" aboveAverage="0" equalAverage="0" bottom="0" percent="0" rank="0" text="" dxfId="9">
      <formula>AND(ISNUMBER($D$7),$D$7&lt;0)</formula>
    </cfRule>
  </conditionalFormatting>
  <conditionalFormatting sqref="C31:E36">
    <cfRule type="expression" priority="7" aboveAverage="0" equalAverage="0" bottom="0" percent="0" rank="0" text="" dxfId="4">
      <formula>AND(ISNUMBER(C31),C31&gt;=Objetivo)</formula>
    </cfRule>
    <cfRule type="expression" priority="8" aboveAverage="0" equalAverage="0" bottom="0" percent="0" rank="0" text="" dxfId="2">
      <formula>AND(ISNUMBER(C31),C31&gt;=Prog_ostrz)</formula>
    </cfRule>
    <cfRule type="expression" priority="9" aboveAverage="0" equalAverage="0" bottom="0" percent="0" rank="0" text="" dxfId="0">
      <formula>ISNUMBER(C31)</formula>
    </cfRule>
  </conditionalFormatting>
  <conditionalFormatting sqref="H31:I36">
    <cfRule type="expression" priority="10" aboveAverage="0" equalAverage="0" bottom="0" percent="0" rank="0" text="" dxfId="4">
      <formula>$H31="Objetivo alcanzado"</formula>
    </cfRule>
    <cfRule type="expression" priority="11" aboveAverage="0" equalAverage="0" bottom="0" percent="0" rank="0" text="" dxfId="2">
      <formula>$H31="A mejorar"</formula>
    </cfRule>
    <cfRule type="expression" priority="12" aboveAverage="0" equalAverage="0" bottom="0" percent="0" rank="0" text="" dxfId="0">
      <formula>$H31="Crítico"</formula>
    </cfRule>
  </conditionalFormatting>
  <conditionalFormatting sqref="G41:H55">
    <cfRule type="expression" priority="13" aboveAverage="0" equalAverage="0" bottom="0" percent="0" rank="0" text="" dxfId="4">
      <formula>$G41="Objetivo alcanzado"</formula>
    </cfRule>
    <cfRule type="expression" priority="14" aboveAverage="0" equalAverage="0" bottom="0" percent="0" rank="0" text="" dxfId="2">
      <formula>$G41="A mejorar"</formula>
    </cfRule>
    <cfRule type="expression" priority="15" aboveAverage="0" equalAverage="0" bottom="0" percent="0" rank="0" text="" dxfId="0">
      <formula>$G41="Crítico"</formula>
    </cfRule>
  </conditionalFormatting>
  <conditionalFormatting sqref="E41:E55">
    <cfRule type="dataBar" priority="16">
      <dataBar showValue="1" minLength="10" maxLength="90">
        <cfvo type="num" val="0"/>
        <cfvo type="num" val="1"/>
        <color rgb="FF7FA6F5"/>
      </dataBar>
      <extLst>
        <ext xmlns:x14="http://schemas.microsoft.com/office/spreadsheetml/2009/9/main" uri="{B025F937-C7B1-47D3-B67F-A62EFF666E3E}">
          <x14:id>{7367FC7B-9CAF-4B5B-92F5-B0AAA7F8A730}</x14:id>
        </ext>
      </extLst>
    </cfRule>
  </conditionalFormatting>
  <dataValidations count="1">
    <dataValidation allowBlank="true" error="Elija un área de la lista (Ajustes)." errorStyle="stop" errorTitle="Valor fuera de la lista" operator="between" showDropDown="false" showErrorMessage="true" showInputMessage="false" sqref="B4" type="list">
      <formula1>Lista_obszarow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367FC7B-9CAF-4B5B-92F5-B0AAA7F8A730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7FA6F5"/>
              <x14:axisColor rgb="FF000000"/>
            </x14:dataBar>
          </x14:cfRule>
          <xm:sqref>E41:E55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9A1F"/>
    <pageSetUpPr fitToPage="true"/>
  </sheetPr>
  <dimension ref="A1:O3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9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8" min="7" style="0" width="46"/>
    <col collapsed="false" customWidth="true" hidden="false" outlineLevel="0" max="9" min="9" style="0" width="20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4" min="12" style="0" width="12"/>
    <col collapsed="false" customWidth="true" hidden="false" outlineLevel="0" max="15" min="15" style="0" width="28"/>
  </cols>
  <sheetData>
    <row r="1" customFormat="false" ht="30" hidden="false" customHeight="true" outlineLevel="0" collapsed="false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customFormat="false" ht="30" hidden="false" customHeight="true" outlineLevel="0" collapsed="false">
      <c r="A2" s="22" t="s">
        <v>382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customFormat="false" ht="15" hidden="false" customHeight="false" outlineLevel="0" collapsed="false">
      <c r="A3" s="110" t="s">
        <v>383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5" customFormat="false" ht="15" hidden="false" customHeight="true" outlineLevel="0" collapsed="false">
      <c r="B5" s="111" t="s">
        <v>384</v>
      </c>
      <c r="C5" s="111"/>
      <c r="D5" s="111" t="s">
        <v>385</v>
      </c>
      <c r="E5" s="111"/>
      <c r="F5" s="111" t="s">
        <v>386</v>
      </c>
      <c r="G5" s="111"/>
      <c r="H5" s="112" t="s">
        <v>85</v>
      </c>
      <c r="I5" s="111" t="s">
        <v>387</v>
      </c>
      <c r="J5" s="111"/>
    </row>
    <row r="6" customFormat="false" ht="31.5" hidden="false" customHeight="true" outlineLevel="0" collapsed="false">
      <c r="B6" s="113" t="n">
        <f aca="false">COUNTA($G$10:$G$309)</f>
        <v>0</v>
      </c>
      <c r="C6" s="113"/>
      <c r="D6" s="113" t="n">
        <f aca="false">COUNTIF($L$10:$L$309,"Abierto")+COUNTIF($L$10:$L$309,"En curso")</f>
        <v>0</v>
      </c>
      <c r="E6" s="113"/>
      <c r="F6" s="113" t="n">
        <f aca="false">COUNTIF($N$10:$N$309,"&gt;0")</f>
        <v>0</v>
      </c>
      <c r="G6" s="113"/>
      <c r="H6" s="114" t="n">
        <f aca="false">COUNTIF($L$10:$L$309,"Cerrado")</f>
        <v>0</v>
      </c>
      <c r="I6" s="115" t="str">
        <f aca="false">IFERROR(SUMPRODUCT(--($L$10:$L$309="Cerrado"),--($M$10:$M$309&lt;&gt;""),--($J$10:$J$309&lt;&gt;""),--($M$10:$M$309&lt;=$J$10:$J$309))/COUNTIF($L$10:$L$309,"Cerrado"),"–")</f>
        <v>–</v>
      </c>
      <c r="J6" s="115"/>
    </row>
    <row r="8" customFormat="false" ht="15" hidden="false" customHeight="false" outlineLevel="0" collapsed="false">
      <c r="A8" s="116" t="s">
        <v>388</v>
      </c>
      <c r="B8" s="117" t="str">
        <f aca="false">"1S: "&amp;(COUNTIFS($F$10:$F$309,"1S Clasificar",$L$10:$L$309,"Abierto")+COUNTIFS($F$10:$F$309,"1S Clasificar",$L$10:$L$309,"En curso"))</f>
        <v>1S: 0</v>
      </c>
      <c r="D8" s="118" t="str">
        <f aca="false">"2S: "&amp;(COUNTIFS($F$10:$F$309,"2S Ordenar",$L$10:$L$309,"Abierto")+COUNTIFS($F$10:$F$309,"2S Ordenar",$L$10:$L$309,"En curso"))</f>
        <v>2S: 0</v>
      </c>
      <c r="F8" s="119" t="str">
        <f aca="false">"3S: "&amp;(COUNTIFS($F$10:$F$309,"3S Limpiar",$L$10:$L$309,"Abierto")+COUNTIFS($F$10:$F$309,"3S Limpiar",$L$10:$L$309,"En curso"))</f>
        <v>3S: 0</v>
      </c>
      <c r="H8" s="120" t="str">
        <f aca="false">"4S: "&amp;(COUNTIFS($F$10:$F$309,"4S Estandarizar",$L$10:$L$309,"Abierto")+COUNTIFS($F$10:$F$309,"4S Estandarizar",$L$10:$L$309,"En curso"))</f>
        <v>4S: 0</v>
      </c>
      <c r="J8" s="121" t="str">
        <f aca="false">"5S: "&amp;(COUNTIFS($F$10:$F$309,"5S Disciplina",$L$10:$L$309,"Abierto")+COUNTIFS($F$10:$F$309,"5S Disciplina",$L$10:$L$309,"En curso"))</f>
        <v>5S: 0</v>
      </c>
    </row>
    <row r="9" customFormat="false" ht="30" hidden="false" customHeight="true" outlineLevel="0" collapsed="false">
      <c r="A9" s="26" t="s">
        <v>389</v>
      </c>
      <c r="B9" s="26" t="s">
        <v>390</v>
      </c>
      <c r="C9" s="26" t="s">
        <v>391</v>
      </c>
      <c r="D9" s="26" t="s">
        <v>341</v>
      </c>
      <c r="E9" s="26" t="s">
        <v>343</v>
      </c>
      <c r="F9" s="26" t="s">
        <v>134</v>
      </c>
      <c r="G9" s="26" t="s">
        <v>392</v>
      </c>
      <c r="H9" s="26" t="s">
        <v>393</v>
      </c>
      <c r="I9" s="26" t="s">
        <v>394</v>
      </c>
      <c r="J9" s="26" t="s">
        <v>395</v>
      </c>
      <c r="K9" s="26" t="s">
        <v>57</v>
      </c>
      <c r="L9" s="26" t="s">
        <v>396</v>
      </c>
      <c r="M9" s="26" t="s">
        <v>397</v>
      </c>
      <c r="N9" s="26" t="s">
        <v>398</v>
      </c>
      <c r="O9" s="26" t="s">
        <v>399</v>
      </c>
    </row>
    <row r="10" customFormat="false" ht="15" hidden="false" customHeight="false" outlineLevel="0" collapsed="false">
      <c r="A10" s="122" t="n">
        <v>1</v>
      </c>
      <c r="B10" s="123"/>
      <c r="C10" s="124"/>
      <c r="D10" s="125"/>
      <c r="E10" s="124"/>
      <c r="F10" s="124"/>
      <c r="G10" s="124"/>
      <c r="H10" s="124"/>
      <c r="I10" s="124"/>
      <c r="J10" s="123"/>
      <c r="K10" s="125"/>
      <c r="L10" s="125"/>
      <c r="M10" s="123"/>
      <c r="N10" s="126" t="str">
        <f aca="true">IF(OR(J10="",L10="Cerrado",L10="Cancelado"),"",MAX(0,TODAY()-J10))</f>
        <v/>
      </c>
      <c r="O10" s="124"/>
    </row>
    <row r="11" customFormat="false" ht="15" hidden="false" customHeight="false" outlineLevel="0" collapsed="false">
      <c r="A11" s="122" t="n">
        <v>2</v>
      </c>
      <c r="B11" s="123"/>
      <c r="C11" s="124"/>
      <c r="D11" s="125"/>
      <c r="E11" s="124"/>
      <c r="F11" s="124"/>
      <c r="G11" s="124"/>
      <c r="H11" s="124"/>
      <c r="I11" s="124"/>
      <c r="J11" s="123"/>
      <c r="K11" s="125"/>
      <c r="L11" s="125"/>
      <c r="M11" s="123"/>
      <c r="N11" s="126" t="str">
        <f aca="true">IF(OR(J11="",L11="Cerrado",L11="Cancelado"),"",MAX(0,TODAY()-J11))</f>
        <v/>
      </c>
      <c r="O11" s="124"/>
    </row>
    <row r="12" customFormat="false" ht="15" hidden="false" customHeight="false" outlineLevel="0" collapsed="false">
      <c r="A12" s="122" t="n">
        <v>3</v>
      </c>
      <c r="B12" s="123"/>
      <c r="C12" s="124"/>
      <c r="D12" s="125"/>
      <c r="E12" s="124"/>
      <c r="F12" s="124"/>
      <c r="G12" s="124"/>
      <c r="H12" s="124"/>
      <c r="I12" s="124"/>
      <c r="J12" s="123"/>
      <c r="K12" s="125"/>
      <c r="L12" s="125"/>
      <c r="M12" s="123"/>
      <c r="N12" s="126" t="str">
        <f aca="true">IF(OR(J12="",L12="Cerrado",L12="Cancelado"),"",MAX(0,TODAY()-J12))</f>
        <v/>
      </c>
      <c r="O12" s="124"/>
    </row>
    <row r="13" customFormat="false" ht="15" hidden="false" customHeight="false" outlineLevel="0" collapsed="false">
      <c r="A13" s="122" t="n">
        <v>4</v>
      </c>
      <c r="B13" s="123"/>
      <c r="C13" s="124"/>
      <c r="D13" s="125"/>
      <c r="E13" s="124"/>
      <c r="F13" s="124"/>
      <c r="G13" s="124"/>
      <c r="H13" s="124"/>
      <c r="I13" s="124"/>
      <c r="J13" s="123"/>
      <c r="K13" s="125"/>
      <c r="L13" s="125"/>
      <c r="M13" s="123"/>
      <c r="N13" s="126" t="str">
        <f aca="true">IF(OR(J13="",L13="Cerrado",L13="Cancelado"),"",MAX(0,TODAY()-J13))</f>
        <v/>
      </c>
      <c r="O13" s="124"/>
    </row>
    <row r="14" customFormat="false" ht="15" hidden="false" customHeight="false" outlineLevel="0" collapsed="false">
      <c r="A14" s="122" t="n">
        <v>5</v>
      </c>
      <c r="B14" s="123"/>
      <c r="C14" s="124"/>
      <c r="D14" s="125"/>
      <c r="E14" s="124"/>
      <c r="F14" s="124"/>
      <c r="G14" s="124"/>
      <c r="H14" s="124"/>
      <c r="I14" s="124"/>
      <c r="J14" s="123"/>
      <c r="K14" s="125"/>
      <c r="L14" s="125"/>
      <c r="M14" s="123"/>
      <c r="N14" s="126" t="str">
        <f aca="true">IF(OR(J14="",L14="Cerrado",L14="Cancelado"),"",MAX(0,TODAY()-J14))</f>
        <v/>
      </c>
      <c r="O14" s="124"/>
    </row>
    <row r="15" customFormat="false" ht="15" hidden="false" customHeight="false" outlineLevel="0" collapsed="false">
      <c r="A15" s="122" t="n">
        <v>6</v>
      </c>
      <c r="B15" s="123"/>
      <c r="C15" s="124"/>
      <c r="D15" s="125"/>
      <c r="E15" s="124"/>
      <c r="F15" s="124"/>
      <c r="G15" s="124"/>
      <c r="H15" s="124"/>
      <c r="I15" s="124"/>
      <c r="J15" s="123"/>
      <c r="K15" s="125"/>
      <c r="L15" s="125"/>
      <c r="M15" s="123"/>
      <c r="N15" s="126" t="str">
        <f aca="true">IF(OR(J15="",L15="Cerrado",L15="Cancelado"),"",MAX(0,TODAY()-J15))</f>
        <v/>
      </c>
      <c r="O15" s="124"/>
    </row>
    <row r="16" customFormat="false" ht="15" hidden="false" customHeight="false" outlineLevel="0" collapsed="false">
      <c r="A16" s="122" t="n">
        <v>7</v>
      </c>
      <c r="B16" s="123"/>
      <c r="C16" s="124"/>
      <c r="D16" s="125"/>
      <c r="E16" s="124"/>
      <c r="F16" s="124"/>
      <c r="G16" s="124"/>
      <c r="H16" s="124"/>
      <c r="I16" s="124"/>
      <c r="J16" s="123"/>
      <c r="K16" s="125"/>
      <c r="L16" s="125"/>
      <c r="M16" s="123"/>
      <c r="N16" s="126" t="str">
        <f aca="true">IF(OR(J16="",L16="Cerrado",L16="Cancelado"),"",MAX(0,TODAY()-J16))</f>
        <v/>
      </c>
      <c r="O16" s="124"/>
    </row>
    <row r="17" customFormat="false" ht="15" hidden="false" customHeight="false" outlineLevel="0" collapsed="false">
      <c r="A17" s="122" t="n">
        <v>8</v>
      </c>
      <c r="B17" s="123"/>
      <c r="C17" s="124"/>
      <c r="D17" s="125"/>
      <c r="E17" s="124"/>
      <c r="F17" s="124"/>
      <c r="G17" s="124"/>
      <c r="H17" s="124"/>
      <c r="I17" s="124"/>
      <c r="J17" s="123"/>
      <c r="K17" s="125"/>
      <c r="L17" s="125"/>
      <c r="M17" s="123"/>
      <c r="N17" s="126" t="str">
        <f aca="true">IF(OR(J17="",L17="Cerrado",L17="Cancelado"),"",MAX(0,TODAY()-J17))</f>
        <v/>
      </c>
      <c r="O17" s="124"/>
    </row>
    <row r="18" customFormat="false" ht="15" hidden="false" customHeight="false" outlineLevel="0" collapsed="false">
      <c r="A18" s="122" t="n">
        <v>9</v>
      </c>
      <c r="B18" s="123"/>
      <c r="C18" s="124"/>
      <c r="D18" s="125"/>
      <c r="E18" s="124"/>
      <c r="F18" s="124"/>
      <c r="G18" s="124"/>
      <c r="H18" s="124"/>
      <c r="I18" s="124"/>
      <c r="J18" s="123"/>
      <c r="K18" s="125"/>
      <c r="L18" s="125"/>
      <c r="M18" s="123"/>
      <c r="N18" s="126" t="str">
        <f aca="true">IF(OR(J18="",L18="Cerrado",L18="Cancelado"),"",MAX(0,TODAY()-J18))</f>
        <v/>
      </c>
      <c r="O18" s="124"/>
    </row>
    <row r="19" customFormat="false" ht="15" hidden="false" customHeight="false" outlineLevel="0" collapsed="false">
      <c r="A19" s="122" t="n">
        <v>10</v>
      </c>
      <c r="B19" s="123"/>
      <c r="C19" s="124"/>
      <c r="D19" s="125"/>
      <c r="E19" s="124"/>
      <c r="F19" s="124"/>
      <c r="G19" s="124"/>
      <c r="H19" s="124"/>
      <c r="I19" s="124"/>
      <c r="J19" s="123"/>
      <c r="K19" s="125"/>
      <c r="L19" s="125"/>
      <c r="M19" s="123"/>
      <c r="N19" s="126" t="str">
        <f aca="true">IF(OR(J19="",L19="Cerrado",L19="Cancelado"),"",MAX(0,TODAY()-J19))</f>
        <v/>
      </c>
      <c r="O19" s="124"/>
    </row>
    <row r="20" customFormat="false" ht="15" hidden="false" customHeight="false" outlineLevel="0" collapsed="false">
      <c r="A20" s="122" t="n">
        <v>11</v>
      </c>
      <c r="B20" s="123"/>
      <c r="C20" s="124"/>
      <c r="D20" s="125"/>
      <c r="E20" s="124"/>
      <c r="F20" s="124"/>
      <c r="G20" s="124"/>
      <c r="H20" s="124"/>
      <c r="I20" s="124"/>
      <c r="J20" s="123"/>
      <c r="K20" s="125"/>
      <c r="L20" s="125"/>
      <c r="M20" s="123"/>
      <c r="N20" s="126" t="str">
        <f aca="true">IF(OR(J20="",L20="Cerrado",L20="Cancelado"),"",MAX(0,TODAY()-J20))</f>
        <v/>
      </c>
      <c r="O20" s="124"/>
    </row>
    <row r="21" customFormat="false" ht="15" hidden="false" customHeight="false" outlineLevel="0" collapsed="false">
      <c r="A21" s="122" t="n">
        <v>12</v>
      </c>
      <c r="B21" s="123"/>
      <c r="C21" s="124"/>
      <c r="D21" s="125"/>
      <c r="E21" s="124"/>
      <c r="F21" s="124"/>
      <c r="G21" s="124"/>
      <c r="H21" s="124"/>
      <c r="I21" s="124"/>
      <c r="J21" s="123"/>
      <c r="K21" s="125"/>
      <c r="L21" s="125"/>
      <c r="M21" s="123"/>
      <c r="N21" s="126" t="str">
        <f aca="true">IF(OR(J21="",L21="Cerrado",L21="Cancelado"),"",MAX(0,TODAY()-J21))</f>
        <v/>
      </c>
      <c r="O21" s="124"/>
    </row>
    <row r="22" customFormat="false" ht="15" hidden="false" customHeight="false" outlineLevel="0" collapsed="false">
      <c r="A22" s="122" t="n">
        <v>13</v>
      </c>
      <c r="B22" s="123"/>
      <c r="C22" s="124"/>
      <c r="D22" s="125"/>
      <c r="E22" s="124"/>
      <c r="F22" s="124"/>
      <c r="G22" s="124"/>
      <c r="H22" s="124"/>
      <c r="I22" s="124"/>
      <c r="J22" s="123"/>
      <c r="K22" s="125"/>
      <c r="L22" s="125"/>
      <c r="M22" s="123"/>
      <c r="N22" s="126" t="str">
        <f aca="true">IF(OR(J22="",L22="Cerrado",L22="Cancelado"),"",MAX(0,TODAY()-J22))</f>
        <v/>
      </c>
      <c r="O22" s="124"/>
    </row>
    <row r="23" customFormat="false" ht="15" hidden="false" customHeight="false" outlineLevel="0" collapsed="false">
      <c r="A23" s="122" t="n">
        <v>14</v>
      </c>
      <c r="B23" s="123"/>
      <c r="C23" s="124"/>
      <c r="D23" s="125"/>
      <c r="E23" s="124"/>
      <c r="F23" s="124"/>
      <c r="G23" s="124"/>
      <c r="H23" s="124"/>
      <c r="I23" s="124"/>
      <c r="J23" s="123"/>
      <c r="K23" s="125"/>
      <c r="L23" s="125"/>
      <c r="M23" s="123"/>
      <c r="N23" s="126" t="str">
        <f aca="true">IF(OR(J23="",L23="Cerrado",L23="Cancelado"),"",MAX(0,TODAY()-J23))</f>
        <v/>
      </c>
      <c r="O23" s="124"/>
    </row>
    <row r="24" customFormat="false" ht="15" hidden="false" customHeight="false" outlineLevel="0" collapsed="false">
      <c r="A24" s="122" t="n">
        <v>15</v>
      </c>
      <c r="B24" s="123"/>
      <c r="C24" s="124"/>
      <c r="D24" s="125"/>
      <c r="E24" s="124"/>
      <c r="F24" s="124"/>
      <c r="G24" s="124"/>
      <c r="H24" s="124"/>
      <c r="I24" s="124"/>
      <c r="J24" s="123"/>
      <c r="K24" s="125"/>
      <c r="L24" s="125"/>
      <c r="M24" s="123"/>
      <c r="N24" s="126" t="str">
        <f aca="true">IF(OR(J24="",L24="Cerrado",L24="Cancelado"),"",MAX(0,TODAY()-J24))</f>
        <v/>
      </c>
      <c r="O24" s="124"/>
    </row>
    <row r="25" customFormat="false" ht="15" hidden="false" customHeight="false" outlineLevel="0" collapsed="false">
      <c r="A25" s="122" t="n">
        <v>16</v>
      </c>
      <c r="B25" s="123"/>
      <c r="C25" s="124"/>
      <c r="D25" s="125"/>
      <c r="E25" s="124"/>
      <c r="F25" s="124"/>
      <c r="G25" s="124"/>
      <c r="H25" s="124"/>
      <c r="I25" s="124"/>
      <c r="J25" s="123"/>
      <c r="K25" s="125"/>
      <c r="L25" s="125"/>
      <c r="M25" s="123"/>
      <c r="N25" s="126" t="str">
        <f aca="true">IF(OR(J25="",L25="Cerrado",L25="Cancelado"),"",MAX(0,TODAY()-J25))</f>
        <v/>
      </c>
      <c r="O25" s="124"/>
    </row>
    <row r="26" customFormat="false" ht="15" hidden="false" customHeight="false" outlineLevel="0" collapsed="false">
      <c r="A26" s="122" t="n">
        <v>17</v>
      </c>
      <c r="B26" s="123"/>
      <c r="C26" s="124"/>
      <c r="D26" s="125"/>
      <c r="E26" s="124"/>
      <c r="F26" s="124"/>
      <c r="G26" s="124"/>
      <c r="H26" s="124"/>
      <c r="I26" s="124"/>
      <c r="J26" s="123"/>
      <c r="K26" s="125"/>
      <c r="L26" s="125"/>
      <c r="M26" s="123"/>
      <c r="N26" s="126" t="str">
        <f aca="true">IF(OR(J26="",L26="Cerrado",L26="Cancelado"),"",MAX(0,TODAY()-J26))</f>
        <v/>
      </c>
      <c r="O26" s="124"/>
    </row>
    <row r="27" customFormat="false" ht="15" hidden="false" customHeight="false" outlineLevel="0" collapsed="false">
      <c r="A27" s="122" t="n">
        <v>18</v>
      </c>
      <c r="B27" s="123"/>
      <c r="C27" s="124"/>
      <c r="D27" s="125"/>
      <c r="E27" s="124"/>
      <c r="F27" s="124"/>
      <c r="G27" s="124"/>
      <c r="H27" s="124"/>
      <c r="I27" s="124"/>
      <c r="J27" s="123"/>
      <c r="K27" s="125"/>
      <c r="L27" s="125"/>
      <c r="M27" s="123"/>
      <c r="N27" s="126" t="str">
        <f aca="true">IF(OR(J27="",L27="Cerrado",L27="Cancelado"),"",MAX(0,TODAY()-J27))</f>
        <v/>
      </c>
      <c r="O27" s="124"/>
    </row>
    <row r="28" customFormat="false" ht="15" hidden="false" customHeight="false" outlineLevel="0" collapsed="false">
      <c r="A28" s="122" t="n">
        <v>19</v>
      </c>
      <c r="B28" s="123"/>
      <c r="C28" s="124"/>
      <c r="D28" s="125"/>
      <c r="E28" s="124"/>
      <c r="F28" s="124"/>
      <c r="G28" s="124"/>
      <c r="H28" s="124"/>
      <c r="I28" s="124"/>
      <c r="J28" s="123"/>
      <c r="K28" s="125"/>
      <c r="L28" s="125"/>
      <c r="M28" s="123"/>
      <c r="N28" s="126" t="str">
        <f aca="true">IF(OR(J28="",L28="Cerrado",L28="Cancelado"),"",MAX(0,TODAY()-J28))</f>
        <v/>
      </c>
      <c r="O28" s="124"/>
    </row>
    <row r="29" customFormat="false" ht="15" hidden="false" customHeight="false" outlineLevel="0" collapsed="false">
      <c r="A29" s="122" t="n">
        <v>20</v>
      </c>
      <c r="B29" s="123"/>
      <c r="C29" s="124"/>
      <c r="D29" s="125"/>
      <c r="E29" s="124"/>
      <c r="F29" s="124"/>
      <c r="G29" s="124"/>
      <c r="H29" s="124"/>
      <c r="I29" s="124"/>
      <c r="J29" s="123"/>
      <c r="K29" s="125"/>
      <c r="L29" s="125"/>
      <c r="M29" s="123"/>
      <c r="N29" s="126" t="str">
        <f aca="true">IF(OR(J29="",L29="Cerrado",L29="Cancelado"),"",MAX(0,TODAY()-J29))</f>
        <v/>
      </c>
      <c r="O29" s="124"/>
    </row>
    <row r="30" customFormat="false" ht="15" hidden="false" customHeight="false" outlineLevel="0" collapsed="false">
      <c r="A30" s="122" t="n">
        <v>21</v>
      </c>
      <c r="B30" s="123"/>
      <c r="C30" s="124"/>
      <c r="D30" s="125"/>
      <c r="E30" s="124"/>
      <c r="F30" s="124"/>
      <c r="G30" s="124"/>
      <c r="H30" s="124"/>
      <c r="I30" s="124"/>
      <c r="J30" s="123"/>
      <c r="K30" s="125"/>
      <c r="L30" s="125"/>
      <c r="M30" s="123"/>
      <c r="N30" s="126" t="str">
        <f aca="true">IF(OR(J30="",L30="Cerrado",L30="Cancelado"),"",MAX(0,TODAY()-J30))</f>
        <v/>
      </c>
      <c r="O30" s="124"/>
    </row>
    <row r="31" customFormat="false" ht="15" hidden="false" customHeight="false" outlineLevel="0" collapsed="false">
      <c r="A31" s="122" t="n">
        <v>22</v>
      </c>
      <c r="B31" s="123"/>
      <c r="C31" s="124"/>
      <c r="D31" s="125"/>
      <c r="E31" s="124"/>
      <c r="F31" s="124"/>
      <c r="G31" s="124"/>
      <c r="H31" s="124"/>
      <c r="I31" s="124"/>
      <c r="J31" s="123"/>
      <c r="K31" s="125"/>
      <c r="L31" s="125"/>
      <c r="M31" s="123"/>
      <c r="N31" s="126" t="str">
        <f aca="true">IF(OR(J31="",L31="Cerrado",L31="Cancelado"),"",MAX(0,TODAY()-J31))</f>
        <v/>
      </c>
      <c r="O31" s="124"/>
    </row>
    <row r="32" customFormat="false" ht="15" hidden="false" customHeight="false" outlineLevel="0" collapsed="false">
      <c r="A32" s="122" t="n">
        <v>23</v>
      </c>
      <c r="B32" s="123"/>
      <c r="C32" s="124"/>
      <c r="D32" s="125"/>
      <c r="E32" s="124"/>
      <c r="F32" s="124"/>
      <c r="G32" s="124"/>
      <c r="H32" s="124"/>
      <c r="I32" s="124"/>
      <c r="J32" s="123"/>
      <c r="K32" s="125"/>
      <c r="L32" s="125"/>
      <c r="M32" s="123"/>
      <c r="N32" s="126" t="str">
        <f aca="true">IF(OR(J32="",L32="Cerrado",L32="Cancelado"),"",MAX(0,TODAY()-J32))</f>
        <v/>
      </c>
      <c r="O32" s="124"/>
    </row>
    <row r="33" customFormat="false" ht="15" hidden="false" customHeight="false" outlineLevel="0" collapsed="false">
      <c r="A33" s="122" t="n">
        <v>24</v>
      </c>
      <c r="B33" s="123"/>
      <c r="C33" s="124"/>
      <c r="D33" s="125"/>
      <c r="E33" s="124"/>
      <c r="F33" s="124"/>
      <c r="G33" s="124"/>
      <c r="H33" s="124"/>
      <c r="I33" s="124"/>
      <c r="J33" s="123"/>
      <c r="K33" s="125"/>
      <c r="L33" s="125"/>
      <c r="M33" s="123"/>
      <c r="N33" s="126" t="str">
        <f aca="true">IF(OR(J33="",L33="Cerrado",L33="Cancelado"),"",MAX(0,TODAY()-J33))</f>
        <v/>
      </c>
      <c r="O33" s="124"/>
    </row>
    <row r="34" customFormat="false" ht="15" hidden="false" customHeight="false" outlineLevel="0" collapsed="false">
      <c r="A34" s="122" t="n">
        <v>25</v>
      </c>
      <c r="B34" s="123"/>
      <c r="C34" s="124"/>
      <c r="D34" s="125"/>
      <c r="E34" s="124"/>
      <c r="F34" s="124"/>
      <c r="G34" s="124"/>
      <c r="H34" s="124"/>
      <c r="I34" s="124"/>
      <c r="J34" s="123"/>
      <c r="K34" s="125"/>
      <c r="L34" s="125"/>
      <c r="M34" s="123"/>
      <c r="N34" s="126" t="str">
        <f aca="true">IF(OR(J34="",L34="Cerrado",L34="Cancelado"),"",MAX(0,TODAY()-J34))</f>
        <v/>
      </c>
      <c r="O34" s="124"/>
    </row>
    <row r="35" customFormat="false" ht="15" hidden="false" customHeight="false" outlineLevel="0" collapsed="false">
      <c r="A35" s="122" t="n">
        <v>26</v>
      </c>
      <c r="B35" s="123"/>
      <c r="C35" s="124"/>
      <c r="D35" s="125"/>
      <c r="E35" s="124"/>
      <c r="F35" s="124"/>
      <c r="G35" s="124"/>
      <c r="H35" s="124"/>
      <c r="I35" s="124"/>
      <c r="J35" s="123"/>
      <c r="K35" s="125"/>
      <c r="L35" s="125"/>
      <c r="M35" s="123"/>
      <c r="N35" s="126" t="str">
        <f aca="true">IF(OR(J35="",L35="Cerrado",L35="Cancelado"),"",MAX(0,TODAY()-J35))</f>
        <v/>
      </c>
      <c r="O35" s="124"/>
    </row>
    <row r="36" customFormat="false" ht="15" hidden="false" customHeight="false" outlineLevel="0" collapsed="false">
      <c r="A36" s="122" t="n">
        <v>27</v>
      </c>
      <c r="B36" s="123"/>
      <c r="C36" s="124"/>
      <c r="D36" s="125"/>
      <c r="E36" s="124"/>
      <c r="F36" s="124"/>
      <c r="G36" s="124"/>
      <c r="H36" s="124"/>
      <c r="I36" s="124"/>
      <c r="J36" s="123"/>
      <c r="K36" s="125"/>
      <c r="L36" s="125"/>
      <c r="M36" s="123"/>
      <c r="N36" s="126" t="str">
        <f aca="true">IF(OR(J36="",L36="Cerrado",L36="Cancelado"),"",MAX(0,TODAY()-J36))</f>
        <v/>
      </c>
      <c r="O36" s="124"/>
    </row>
    <row r="37" customFormat="false" ht="15" hidden="false" customHeight="false" outlineLevel="0" collapsed="false">
      <c r="A37" s="122" t="n">
        <v>28</v>
      </c>
      <c r="B37" s="123"/>
      <c r="C37" s="124"/>
      <c r="D37" s="125"/>
      <c r="E37" s="124"/>
      <c r="F37" s="124"/>
      <c r="G37" s="124"/>
      <c r="H37" s="124"/>
      <c r="I37" s="124"/>
      <c r="J37" s="123"/>
      <c r="K37" s="125"/>
      <c r="L37" s="125"/>
      <c r="M37" s="123"/>
      <c r="N37" s="126" t="str">
        <f aca="true">IF(OR(J37="",L37="Cerrado",L37="Cancelado"),"",MAX(0,TODAY()-J37))</f>
        <v/>
      </c>
      <c r="O37" s="124"/>
    </row>
    <row r="38" customFormat="false" ht="15" hidden="false" customHeight="false" outlineLevel="0" collapsed="false">
      <c r="A38" s="122" t="n">
        <v>29</v>
      </c>
      <c r="B38" s="123"/>
      <c r="C38" s="124"/>
      <c r="D38" s="125"/>
      <c r="E38" s="124"/>
      <c r="F38" s="124"/>
      <c r="G38" s="124"/>
      <c r="H38" s="124"/>
      <c r="I38" s="124"/>
      <c r="J38" s="123"/>
      <c r="K38" s="125"/>
      <c r="L38" s="125"/>
      <c r="M38" s="123"/>
      <c r="N38" s="126" t="str">
        <f aca="true">IF(OR(J38="",L38="Cerrado",L38="Cancelado"),"",MAX(0,TODAY()-J38))</f>
        <v/>
      </c>
      <c r="O38" s="124"/>
    </row>
    <row r="39" customFormat="false" ht="15" hidden="false" customHeight="false" outlineLevel="0" collapsed="false">
      <c r="A39" s="122" t="n">
        <v>30</v>
      </c>
      <c r="B39" s="123"/>
      <c r="C39" s="124"/>
      <c r="D39" s="125"/>
      <c r="E39" s="124"/>
      <c r="F39" s="124"/>
      <c r="G39" s="124"/>
      <c r="H39" s="124"/>
      <c r="I39" s="124"/>
      <c r="J39" s="123"/>
      <c r="K39" s="125"/>
      <c r="L39" s="125"/>
      <c r="M39" s="123"/>
      <c r="N39" s="126" t="str">
        <f aca="true">IF(OR(J39="",L39="Cerrado",L39="Cancelado"),"",MAX(0,TODAY()-J39))</f>
        <v/>
      </c>
      <c r="O39" s="124"/>
    </row>
    <row r="40" customFormat="false" ht="15" hidden="false" customHeight="false" outlineLevel="0" collapsed="false">
      <c r="A40" s="122" t="n">
        <v>31</v>
      </c>
      <c r="B40" s="123"/>
      <c r="C40" s="124"/>
      <c r="D40" s="125"/>
      <c r="E40" s="124"/>
      <c r="F40" s="124"/>
      <c r="G40" s="124"/>
      <c r="H40" s="124"/>
      <c r="I40" s="124"/>
      <c r="J40" s="123"/>
      <c r="K40" s="125"/>
      <c r="L40" s="125"/>
      <c r="M40" s="123"/>
      <c r="N40" s="126" t="str">
        <f aca="true">IF(OR(J40="",L40="Cerrado",L40="Cancelado"),"",MAX(0,TODAY()-J40))</f>
        <v/>
      </c>
      <c r="O40" s="124"/>
    </row>
    <row r="41" customFormat="false" ht="15" hidden="false" customHeight="false" outlineLevel="0" collapsed="false">
      <c r="A41" s="122" t="n">
        <v>32</v>
      </c>
      <c r="B41" s="123"/>
      <c r="C41" s="124"/>
      <c r="D41" s="125"/>
      <c r="E41" s="124"/>
      <c r="F41" s="124"/>
      <c r="G41" s="124"/>
      <c r="H41" s="124"/>
      <c r="I41" s="124"/>
      <c r="J41" s="123"/>
      <c r="K41" s="125"/>
      <c r="L41" s="125"/>
      <c r="M41" s="123"/>
      <c r="N41" s="126" t="str">
        <f aca="true">IF(OR(J41="",L41="Cerrado",L41="Cancelado"),"",MAX(0,TODAY()-J41))</f>
        <v/>
      </c>
      <c r="O41" s="124"/>
    </row>
    <row r="42" customFormat="false" ht="15" hidden="false" customHeight="false" outlineLevel="0" collapsed="false">
      <c r="A42" s="122" t="n">
        <v>33</v>
      </c>
      <c r="B42" s="123"/>
      <c r="C42" s="124"/>
      <c r="D42" s="125"/>
      <c r="E42" s="124"/>
      <c r="F42" s="124"/>
      <c r="G42" s="124"/>
      <c r="H42" s="124"/>
      <c r="I42" s="124"/>
      <c r="J42" s="123"/>
      <c r="K42" s="125"/>
      <c r="L42" s="125"/>
      <c r="M42" s="123"/>
      <c r="N42" s="126" t="str">
        <f aca="true">IF(OR(J42="",L42="Cerrado",L42="Cancelado"),"",MAX(0,TODAY()-J42))</f>
        <v/>
      </c>
      <c r="O42" s="124"/>
    </row>
    <row r="43" customFormat="false" ht="15" hidden="false" customHeight="false" outlineLevel="0" collapsed="false">
      <c r="A43" s="122" t="n">
        <v>34</v>
      </c>
      <c r="B43" s="123"/>
      <c r="C43" s="124"/>
      <c r="D43" s="125"/>
      <c r="E43" s="124"/>
      <c r="F43" s="124"/>
      <c r="G43" s="124"/>
      <c r="H43" s="124"/>
      <c r="I43" s="124"/>
      <c r="J43" s="123"/>
      <c r="K43" s="125"/>
      <c r="L43" s="125"/>
      <c r="M43" s="123"/>
      <c r="N43" s="126" t="str">
        <f aca="true">IF(OR(J43="",L43="Cerrado",L43="Cancelado"),"",MAX(0,TODAY()-J43))</f>
        <v/>
      </c>
      <c r="O43" s="124"/>
    </row>
    <row r="44" customFormat="false" ht="15" hidden="false" customHeight="false" outlineLevel="0" collapsed="false">
      <c r="A44" s="122" t="n">
        <v>35</v>
      </c>
      <c r="B44" s="123"/>
      <c r="C44" s="124"/>
      <c r="D44" s="125"/>
      <c r="E44" s="124"/>
      <c r="F44" s="124"/>
      <c r="G44" s="124"/>
      <c r="H44" s="124"/>
      <c r="I44" s="124"/>
      <c r="J44" s="123"/>
      <c r="K44" s="125"/>
      <c r="L44" s="125"/>
      <c r="M44" s="123"/>
      <c r="N44" s="126" t="str">
        <f aca="true">IF(OR(J44="",L44="Cerrado",L44="Cancelado"),"",MAX(0,TODAY()-J44))</f>
        <v/>
      </c>
      <c r="O44" s="124"/>
    </row>
    <row r="45" customFormat="false" ht="15" hidden="false" customHeight="false" outlineLevel="0" collapsed="false">
      <c r="A45" s="122" t="n">
        <v>36</v>
      </c>
      <c r="B45" s="123"/>
      <c r="C45" s="124"/>
      <c r="D45" s="125"/>
      <c r="E45" s="124"/>
      <c r="F45" s="124"/>
      <c r="G45" s="124"/>
      <c r="H45" s="124"/>
      <c r="I45" s="124"/>
      <c r="J45" s="123"/>
      <c r="K45" s="125"/>
      <c r="L45" s="125"/>
      <c r="M45" s="123"/>
      <c r="N45" s="126" t="str">
        <f aca="true">IF(OR(J45="",L45="Cerrado",L45="Cancelado"),"",MAX(0,TODAY()-J45))</f>
        <v/>
      </c>
      <c r="O45" s="124"/>
    </row>
    <row r="46" customFormat="false" ht="15" hidden="false" customHeight="false" outlineLevel="0" collapsed="false">
      <c r="A46" s="122" t="n">
        <v>37</v>
      </c>
      <c r="B46" s="123"/>
      <c r="C46" s="124"/>
      <c r="D46" s="125"/>
      <c r="E46" s="124"/>
      <c r="F46" s="124"/>
      <c r="G46" s="124"/>
      <c r="H46" s="124"/>
      <c r="I46" s="124"/>
      <c r="J46" s="123"/>
      <c r="K46" s="125"/>
      <c r="L46" s="125"/>
      <c r="M46" s="123"/>
      <c r="N46" s="126" t="str">
        <f aca="true">IF(OR(J46="",L46="Cerrado",L46="Cancelado"),"",MAX(0,TODAY()-J46))</f>
        <v/>
      </c>
      <c r="O46" s="124"/>
    </row>
    <row r="47" customFormat="false" ht="15" hidden="false" customHeight="false" outlineLevel="0" collapsed="false">
      <c r="A47" s="122" t="n">
        <v>38</v>
      </c>
      <c r="B47" s="123"/>
      <c r="C47" s="124"/>
      <c r="D47" s="125"/>
      <c r="E47" s="124"/>
      <c r="F47" s="124"/>
      <c r="G47" s="124"/>
      <c r="H47" s="124"/>
      <c r="I47" s="124"/>
      <c r="J47" s="123"/>
      <c r="K47" s="125"/>
      <c r="L47" s="125"/>
      <c r="M47" s="123"/>
      <c r="N47" s="126" t="str">
        <f aca="true">IF(OR(J47="",L47="Cerrado",L47="Cancelado"),"",MAX(0,TODAY()-J47))</f>
        <v/>
      </c>
      <c r="O47" s="124"/>
    </row>
    <row r="48" customFormat="false" ht="15" hidden="false" customHeight="false" outlineLevel="0" collapsed="false">
      <c r="A48" s="122" t="n">
        <v>39</v>
      </c>
      <c r="B48" s="123"/>
      <c r="C48" s="124"/>
      <c r="D48" s="125"/>
      <c r="E48" s="124"/>
      <c r="F48" s="124"/>
      <c r="G48" s="124"/>
      <c r="H48" s="124"/>
      <c r="I48" s="124"/>
      <c r="J48" s="123"/>
      <c r="K48" s="125"/>
      <c r="L48" s="125"/>
      <c r="M48" s="123"/>
      <c r="N48" s="126" t="str">
        <f aca="true">IF(OR(J48="",L48="Cerrado",L48="Cancelado"),"",MAX(0,TODAY()-J48))</f>
        <v/>
      </c>
      <c r="O48" s="124"/>
    </row>
    <row r="49" customFormat="false" ht="15" hidden="false" customHeight="false" outlineLevel="0" collapsed="false">
      <c r="A49" s="122" t="n">
        <v>40</v>
      </c>
      <c r="B49" s="123"/>
      <c r="C49" s="124"/>
      <c r="D49" s="125"/>
      <c r="E49" s="124"/>
      <c r="F49" s="124"/>
      <c r="G49" s="124"/>
      <c r="H49" s="124"/>
      <c r="I49" s="124"/>
      <c r="J49" s="123"/>
      <c r="K49" s="125"/>
      <c r="L49" s="125"/>
      <c r="M49" s="123"/>
      <c r="N49" s="126" t="str">
        <f aca="true">IF(OR(J49="",L49="Cerrado",L49="Cancelado"),"",MAX(0,TODAY()-J49))</f>
        <v/>
      </c>
      <c r="O49" s="124"/>
    </row>
    <row r="50" customFormat="false" ht="15" hidden="false" customHeight="false" outlineLevel="0" collapsed="false">
      <c r="A50" s="122" t="n">
        <v>41</v>
      </c>
      <c r="B50" s="123"/>
      <c r="C50" s="124"/>
      <c r="D50" s="125"/>
      <c r="E50" s="124"/>
      <c r="F50" s="124"/>
      <c r="G50" s="124"/>
      <c r="H50" s="124"/>
      <c r="I50" s="124"/>
      <c r="J50" s="123"/>
      <c r="K50" s="125"/>
      <c r="L50" s="125"/>
      <c r="M50" s="123"/>
      <c r="N50" s="126" t="str">
        <f aca="true">IF(OR(J50="",L50="Cerrado",L50="Cancelado"),"",MAX(0,TODAY()-J50))</f>
        <v/>
      </c>
      <c r="O50" s="124"/>
    </row>
    <row r="51" customFormat="false" ht="15" hidden="false" customHeight="false" outlineLevel="0" collapsed="false">
      <c r="A51" s="122" t="n">
        <v>42</v>
      </c>
      <c r="B51" s="123"/>
      <c r="C51" s="124"/>
      <c r="D51" s="125"/>
      <c r="E51" s="124"/>
      <c r="F51" s="124"/>
      <c r="G51" s="124"/>
      <c r="H51" s="124"/>
      <c r="I51" s="124"/>
      <c r="J51" s="123"/>
      <c r="K51" s="125"/>
      <c r="L51" s="125"/>
      <c r="M51" s="123"/>
      <c r="N51" s="126" t="str">
        <f aca="true">IF(OR(J51="",L51="Cerrado",L51="Cancelado"),"",MAX(0,TODAY()-J51))</f>
        <v/>
      </c>
      <c r="O51" s="124"/>
    </row>
    <row r="52" customFormat="false" ht="15" hidden="false" customHeight="false" outlineLevel="0" collapsed="false">
      <c r="A52" s="122" t="n">
        <v>43</v>
      </c>
      <c r="B52" s="123"/>
      <c r="C52" s="124"/>
      <c r="D52" s="125"/>
      <c r="E52" s="124"/>
      <c r="F52" s="124"/>
      <c r="G52" s="124"/>
      <c r="H52" s="124"/>
      <c r="I52" s="124"/>
      <c r="J52" s="123"/>
      <c r="K52" s="125"/>
      <c r="L52" s="125"/>
      <c r="M52" s="123"/>
      <c r="N52" s="126" t="str">
        <f aca="true">IF(OR(J52="",L52="Cerrado",L52="Cancelado"),"",MAX(0,TODAY()-J52))</f>
        <v/>
      </c>
      <c r="O52" s="124"/>
    </row>
    <row r="53" customFormat="false" ht="15" hidden="false" customHeight="false" outlineLevel="0" collapsed="false">
      <c r="A53" s="122" t="n">
        <v>44</v>
      </c>
      <c r="B53" s="123"/>
      <c r="C53" s="124"/>
      <c r="D53" s="125"/>
      <c r="E53" s="124"/>
      <c r="F53" s="124"/>
      <c r="G53" s="124"/>
      <c r="H53" s="124"/>
      <c r="I53" s="124"/>
      <c r="J53" s="123"/>
      <c r="K53" s="125"/>
      <c r="L53" s="125"/>
      <c r="M53" s="123"/>
      <c r="N53" s="126" t="str">
        <f aca="true">IF(OR(J53="",L53="Cerrado",L53="Cancelado"),"",MAX(0,TODAY()-J53))</f>
        <v/>
      </c>
      <c r="O53" s="124"/>
    </row>
    <row r="54" customFormat="false" ht="15" hidden="false" customHeight="false" outlineLevel="0" collapsed="false">
      <c r="A54" s="122" t="n">
        <v>45</v>
      </c>
      <c r="B54" s="123"/>
      <c r="C54" s="124"/>
      <c r="D54" s="125"/>
      <c r="E54" s="124"/>
      <c r="F54" s="124"/>
      <c r="G54" s="124"/>
      <c r="H54" s="124"/>
      <c r="I54" s="124"/>
      <c r="J54" s="123"/>
      <c r="K54" s="125"/>
      <c r="L54" s="125"/>
      <c r="M54" s="123"/>
      <c r="N54" s="126" t="str">
        <f aca="true">IF(OR(J54="",L54="Cerrado",L54="Cancelado"),"",MAX(0,TODAY()-J54))</f>
        <v/>
      </c>
      <c r="O54" s="124"/>
    </row>
    <row r="55" customFormat="false" ht="15" hidden="false" customHeight="false" outlineLevel="0" collapsed="false">
      <c r="A55" s="122" t="n">
        <v>46</v>
      </c>
      <c r="B55" s="123"/>
      <c r="C55" s="124"/>
      <c r="D55" s="125"/>
      <c r="E55" s="124"/>
      <c r="F55" s="124"/>
      <c r="G55" s="124"/>
      <c r="H55" s="124"/>
      <c r="I55" s="124"/>
      <c r="J55" s="123"/>
      <c r="K55" s="125"/>
      <c r="L55" s="125"/>
      <c r="M55" s="123"/>
      <c r="N55" s="126" t="str">
        <f aca="true">IF(OR(J55="",L55="Cerrado",L55="Cancelado"),"",MAX(0,TODAY()-J55))</f>
        <v/>
      </c>
      <c r="O55" s="124"/>
    </row>
    <row r="56" customFormat="false" ht="15" hidden="false" customHeight="false" outlineLevel="0" collapsed="false">
      <c r="A56" s="122" t="n">
        <v>47</v>
      </c>
      <c r="B56" s="123"/>
      <c r="C56" s="124"/>
      <c r="D56" s="125"/>
      <c r="E56" s="124"/>
      <c r="F56" s="124"/>
      <c r="G56" s="124"/>
      <c r="H56" s="124"/>
      <c r="I56" s="124"/>
      <c r="J56" s="123"/>
      <c r="K56" s="125"/>
      <c r="L56" s="125"/>
      <c r="M56" s="123"/>
      <c r="N56" s="126" t="str">
        <f aca="true">IF(OR(J56="",L56="Cerrado",L56="Cancelado"),"",MAX(0,TODAY()-J56))</f>
        <v/>
      </c>
      <c r="O56" s="124"/>
    </row>
    <row r="57" customFormat="false" ht="15" hidden="false" customHeight="false" outlineLevel="0" collapsed="false">
      <c r="A57" s="122" t="n">
        <v>48</v>
      </c>
      <c r="B57" s="123"/>
      <c r="C57" s="124"/>
      <c r="D57" s="125"/>
      <c r="E57" s="124"/>
      <c r="F57" s="124"/>
      <c r="G57" s="124"/>
      <c r="H57" s="124"/>
      <c r="I57" s="124"/>
      <c r="J57" s="123"/>
      <c r="K57" s="125"/>
      <c r="L57" s="125"/>
      <c r="M57" s="123"/>
      <c r="N57" s="126" t="str">
        <f aca="true">IF(OR(J57="",L57="Cerrado",L57="Cancelado"),"",MAX(0,TODAY()-J57))</f>
        <v/>
      </c>
      <c r="O57" s="124"/>
    </row>
    <row r="58" customFormat="false" ht="15" hidden="false" customHeight="false" outlineLevel="0" collapsed="false">
      <c r="A58" s="122" t="n">
        <v>49</v>
      </c>
      <c r="B58" s="123"/>
      <c r="C58" s="124"/>
      <c r="D58" s="125"/>
      <c r="E58" s="124"/>
      <c r="F58" s="124"/>
      <c r="G58" s="124"/>
      <c r="H58" s="124"/>
      <c r="I58" s="124"/>
      <c r="J58" s="123"/>
      <c r="K58" s="125"/>
      <c r="L58" s="125"/>
      <c r="M58" s="123"/>
      <c r="N58" s="126" t="str">
        <f aca="true">IF(OR(J58="",L58="Cerrado",L58="Cancelado"),"",MAX(0,TODAY()-J58))</f>
        <v/>
      </c>
      <c r="O58" s="124"/>
    </row>
    <row r="59" customFormat="false" ht="15" hidden="false" customHeight="false" outlineLevel="0" collapsed="false">
      <c r="A59" s="122" t="n">
        <v>50</v>
      </c>
      <c r="B59" s="123"/>
      <c r="C59" s="124"/>
      <c r="D59" s="125"/>
      <c r="E59" s="124"/>
      <c r="F59" s="124"/>
      <c r="G59" s="124"/>
      <c r="H59" s="124"/>
      <c r="I59" s="124"/>
      <c r="J59" s="123"/>
      <c r="K59" s="125"/>
      <c r="L59" s="125"/>
      <c r="M59" s="123"/>
      <c r="N59" s="126" t="str">
        <f aca="true">IF(OR(J59="",L59="Cerrado",L59="Cancelado"),"",MAX(0,TODAY()-J59))</f>
        <v/>
      </c>
      <c r="O59" s="124"/>
    </row>
    <row r="60" customFormat="false" ht="15" hidden="false" customHeight="false" outlineLevel="0" collapsed="false">
      <c r="A60" s="122" t="n">
        <v>51</v>
      </c>
      <c r="B60" s="123"/>
      <c r="C60" s="124"/>
      <c r="D60" s="125"/>
      <c r="E60" s="124"/>
      <c r="F60" s="124"/>
      <c r="G60" s="124"/>
      <c r="H60" s="124"/>
      <c r="I60" s="124"/>
      <c r="J60" s="123"/>
      <c r="K60" s="125"/>
      <c r="L60" s="125"/>
      <c r="M60" s="123"/>
      <c r="N60" s="126" t="str">
        <f aca="true">IF(OR(J60="",L60="Cerrado",L60="Cancelado"),"",MAX(0,TODAY()-J60))</f>
        <v/>
      </c>
      <c r="O60" s="124"/>
    </row>
    <row r="61" customFormat="false" ht="15" hidden="false" customHeight="false" outlineLevel="0" collapsed="false">
      <c r="A61" s="122" t="n">
        <v>52</v>
      </c>
      <c r="B61" s="123"/>
      <c r="C61" s="124"/>
      <c r="D61" s="125"/>
      <c r="E61" s="124"/>
      <c r="F61" s="124"/>
      <c r="G61" s="124"/>
      <c r="H61" s="124"/>
      <c r="I61" s="124"/>
      <c r="J61" s="123"/>
      <c r="K61" s="125"/>
      <c r="L61" s="125"/>
      <c r="M61" s="123"/>
      <c r="N61" s="126" t="str">
        <f aca="true">IF(OR(J61="",L61="Cerrado",L61="Cancelado"),"",MAX(0,TODAY()-J61))</f>
        <v/>
      </c>
      <c r="O61" s="124"/>
    </row>
    <row r="62" customFormat="false" ht="15" hidden="false" customHeight="false" outlineLevel="0" collapsed="false">
      <c r="A62" s="122" t="n">
        <v>53</v>
      </c>
      <c r="B62" s="123"/>
      <c r="C62" s="124"/>
      <c r="D62" s="125"/>
      <c r="E62" s="124"/>
      <c r="F62" s="124"/>
      <c r="G62" s="124"/>
      <c r="H62" s="124"/>
      <c r="I62" s="124"/>
      <c r="J62" s="123"/>
      <c r="K62" s="125"/>
      <c r="L62" s="125"/>
      <c r="M62" s="123"/>
      <c r="N62" s="126" t="str">
        <f aca="true">IF(OR(J62="",L62="Cerrado",L62="Cancelado"),"",MAX(0,TODAY()-J62))</f>
        <v/>
      </c>
      <c r="O62" s="124"/>
    </row>
    <row r="63" customFormat="false" ht="15" hidden="false" customHeight="false" outlineLevel="0" collapsed="false">
      <c r="A63" s="122" t="n">
        <v>54</v>
      </c>
      <c r="B63" s="123"/>
      <c r="C63" s="124"/>
      <c r="D63" s="125"/>
      <c r="E63" s="124"/>
      <c r="F63" s="124"/>
      <c r="G63" s="124"/>
      <c r="H63" s="124"/>
      <c r="I63" s="124"/>
      <c r="J63" s="123"/>
      <c r="K63" s="125"/>
      <c r="L63" s="125"/>
      <c r="M63" s="123"/>
      <c r="N63" s="126" t="str">
        <f aca="true">IF(OR(J63="",L63="Cerrado",L63="Cancelado"),"",MAX(0,TODAY()-J63))</f>
        <v/>
      </c>
      <c r="O63" s="124"/>
    </row>
    <row r="64" customFormat="false" ht="15" hidden="false" customHeight="false" outlineLevel="0" collapsed="false">
      <c r="A64" s="122" t="n">
        <v>55</v>
      </c>
      <c r="B64" s="123"/>
      <c r="C64" s="124"/>
      <c r="D64" s="125"/>
      <c r="E64" s="124"/>
      <c r="F64" s="124"/>
      <c r="G64" s="124"/>
      <c r="H64" s="124"/>
      <c r="I64" s="124"/>
      <c r="J64" s="123"/>
      <c r="K64" s="125"/>
      <c r="L64" s="125"/>
      <c r="M64" s="123"/>
      <c r="N64" s="126" t="str">
        <f aca="true">IF(OR(J64="",L64="Cerrado",L64="Cancelado"),"",MAX(0,TODAY()-J64))</f>
        <v/>
      </c>
      <c r="O64" s="124"/>
    </row>
    <row r="65" customFormat="false" ht="15" hidden="false" customHeight="false" outlineLevel="0" collapsed="false">
      <c r="A65" s="122" t="n">
        <v>56</v>
      </c>
      <c r="B65" s="123"/>
      <c r="C65" s="124"/>
      <c r="D65" s="125"/>
      <c r="E65" s="124"/>
      <c r="F65" s="124"/>
      <c r="G65" s="124"/>
      <c r="H65" s="124"/>
      <c r="I65" s="124"/>
      <c r="J65" s="123"/>
      <c r="K65" s="125"/>
      <c r="L65" s="125"/>
      <c r="M65" s="123"/>
      <c r="N65" s="126" t="str">
        <f aca="true">IF(OR(J65="",L65="Cerrado",L65="Cancelado"),"",MAX(0,TODAY()-J65))</f>
        <v/>
      </c>
      <c r="O65" s="124"/>
    </row>
    <row r="66" customFormat="false" ht="15" hidden="false" customHeight="false" outlineLevel="0" collapsed="false">
      <c r="A66" s="122" t="n">
        <v>57</v>
      </c>
      <c r="B66" s="123"/>
      <c r="C66" s="124"/>
      <c r="D66" s="125"/>
      <c r="E66" s="124"/>
      <c r="F66" s="124"/>
      <c r="G66" s="124"/>
      <c r="H66" s="124"/>
      <c r="I66" s="124"/>
      <c r="J66" s="123"/>
      <c r="K66" s="125"/>
      <c r="L66" s="125"/>
      <c r="M66" s="123"/>
      <c r="N66" s="126" t="str">
        <f aca="true">IF(OR(J66="",L66="Cerrado",L66="Cancelado"),"",MAX(0,TODAY()-J66))</f>
        <v/>
      </c>
      <c r="O66" s="124"/>
    </row>
    <row r="67" customFormat="false" ht="15" hidden="false" customHeight="false" outlineLevel="0" collapsed="false">
      <c r="A67" s="122" t="n">
        <v>58</v>
      </c>
      <c r="B67" s="123"/>
      <c r="C67" s="124"/>
      <c r="D67" s="125"/>
      <c r="E67" s="124"/>
      <c r="F67" s="124"/>
      <c r="G67" s="124"/>
      <c r="H67" s="124"/>
      <c r="I67" s="124"/>
      <c r="J67" s="123"/>
      <c r="K67" s="125"/>
      <c r="L67" s="125"/>
      <c r="M67" s="123"/>
      <c r="N67" s="126" t="str">
        <f aca="true">IF(OR(J67="",L67="Cerrado",L67="Cancelado"),"",MAX(0,TODAY()-J67))</f>
        <v/>
      </c>
      <c r="O67" s="124"/>
    </row>
    <row r="68" customFormat="false" ht="15" hidden="false" customHeight="false" outlineLevel="0" collapsed="false">
      <c r="A68" s="122" t="n">
        <v>59</v>
      </c>
      <c r="B68" s="123"/>
      <c r="C68" s="124"/>
      <c r="D68" s="125"/>
      <c r="E68" s="124"/>
      <c r="F68" s="124"/>
      <c r="G68" s="124"/>
      <c r="H68" s="124"/>
      <c r="I68" s="124"/>
      <c r="J68" s="123"/>
      <c r="K68" s="125"/>
      <c r="L68" s="125"/>
      <c r="M68" s="123"/>
      <c r="N68" s="126" t="str">
        <f aca="true">IF(OR(J68="",L68="Cerrado",L68="Cancelado"),"",MAX(0,TODAY()-J68))</f>
        <v/>
      </c>
      <c r="O68" s="124"/>
    </row>
    <row r="69" customFormat="false" ht="15" hidden="false" customHeight="false" outlineLevel="0" collapsed="false">
      <c r="A69" s="122" t="n">
        <v>60</v>
      </c>
      <c r="B69" s="123"/>
      <c r="C69" s="124"/>
      <c r="D69" s="125"/>
      <c r="E69" s="124"/>
      <c r="F69" s="124"/>
      <c r="G69" s="124"/>
      <c r="H69" s="124"/>
      <c r="I69" s="124"/>
      <c r="J69" s="123"/>
      <c r="K69" s="125"/>
      <c r="L69" s="125"/>
      <c r="M69" s="123"/>
      <c r="N69" s="126" t="str">
        <f aca="true">IF(OR(J69="",L69="Cerrado",L69="Cancelado"),"",MAX(0,TODAY()-J69))</f>
        <v/>
      </c>
      <c r="O69" s="124"/>
    </row>
    <row r="70" customFormat="false" ht="15" hidden="false" customHeight="false" outlineLevel="0" collapsed="false">
      <c r="A70" s="122" t="n">
        <v>61</v>
      </c>
      <c r="B70" s="123"/>
      <c r="C70" s="124"/>
      <c r="D70" s="125"/>
      <c r="E70" s="124"/>
      <c r="F70" s="124"/>
      <c r="G70" s="124"/>
      <c r="H70" s="124"/>
      <c r="I70" s="124"/>
      <c r="J70" s="123"/>
      <c r="K70" s="125"/>
      <c r="L70" s="125"/>
      <c r="M70" s="123"/>
      <c r="N70" s="126" t="str">
        <f aca="true">IF(OR(J70="",L70="Cerrado",L70="Cancelado"),"",MAX(0,TODAY()-J70))</f>
        <v/>
      </c>
      <c r="O70" s="124"/>
    </row>
    <row r="71" customFormat="false" ht="15" hidden="false" customHeight="false" outlineLevel="0" collapsed="false">
      <c r="A71" s="122" t="n">
        <v>62</v>
      </c>
      <c r="B71" s="123"/>
      <c r="C71" s="124"/>
      <c r="D71" s="125"/>
      <c r="E71" s="124"/>
      <c r="F71" s="124"/>
      <c r="G71" s="124"/>
      <c r="H71" s="124"/>
      <c r="I71" s="124"/>
      <c r="J71" s="123"/>
      <c r="K71" s="125"/>
      <c r="L71" s="125"/>
      <c r="M71" s="123"/>
      <c r="N71" s="126" t="str">
        <f aca="true">IF(OR(J71="",L71="Cerrado",L71="Cancelado"),"",MAX(0,TODAY()-J71))</f>
        <v/>
      </c>
      <c r="O71" s="124"/>
    </row>
    <row r="72" customFormat="false" ht="15" hidden="false" customHeight="false" outlineLevel="0" collapsed="false">
      <c r="A72" s="122" t="n">
        <v>63</v>
      </c>
      <c r="B72" s="123"/>
      <c r="C72" s="124"/>
      <c r="D72" s="125"/>
      <c r="E72" s="124"/>
      <c r="F72" s="124"/>
      <c r="G72" s="124"/>
      <c r="H72" s="124"/>
      <c r="I72" s="124"/>
      <c r="J72" s="123"/>
      <c r="K72" s="125"/>
      <c r="L72" s="125"/>
      <c r="M72" s="123"/>
      <c r="N72" s="126" t="str">
        <f aca="true">IF(OR(J72="",L72="Cerrado",L72="Cancelado"),"",MAX(0,TODAY()-J72))</f>
        <v/>
      </c>
      <c r="O72" s="124"/>
    </row>
    <row r="73" customFormat="false" ht="15" hidden="false" customHeight="false" outlineLevel="0" collapsed="false">
      <c r="A73" s="122" t="n">
        <v>64</v>
      </c>
      <c r="B73" s="123"/>
      <c r="C73" s="124"/>
      <c r="D73" s="125"/>
      <c r="E73" s="124"/>
      <c r="F73" s="124"/>
      <c r="G73" s="124"/>
      <c r="H73" s="124"/>
      <c r="I73" s="124"/>
      <c r="J73" s="123"/>
      <c r="K73" s="125"/>
      <c r="L73" s="125"/>
      <c r="M73" s="123"/>
      <c r="N73" s="126" t="str">
        <f aca="true">IF(OR(J73="",L73="Cerrado",L73="Cancelado"),"",MAX(0,TODAY()-J73))</f>
        <v/>
      </c>
      <c r="O73" s="124"/>
    </row>
    <row r="74" customFormat="false" ht="15" hidden="false" customHeight="false" outlineLevel="0" collapsed="false">
      <c r="A74" s="122" t="n">
        <v>65</v>
      </c>
      <c r="B74" s="123"/>
      <c r="C74" s="124"/>
      <c r="D74" s="125"/>
      <c r="E74" s="124"/>
      <c r="F74" s="124"/>
      <c r="G74" s="124"/>
      <c r="H74" s="124"/>
      <c r="I74" s="124"/>
      <c r="J74" s="123"/>
      <c r="K74" s="125"/>
      <c r="L74" s="125"/>
      <c r="M74" s="123"/>
      <c r="N74" s="126" t="str">
        <f aca="true">IF(OR(J74="",L74="Cerrado",L74="Cancelado"),"",MAX(0,TODAY()-J74))</f>
        <v/>
      </c>
      <c r="O74" s="124"/>
    </row>
    <row r="75" customFormat="false" ht="15" hidden="false" customHeight="false" outlineLevel="0" collapsed="false">
      <c r="A75" s="122" t="n">
        <v>66</v>
      </c>
      <c r="B75" s="123"/>
      <c r="C75" s="124"/>
      <c r="D75" s="125"/>
      <c r="E75" s="124"/>
      <c r="F75" s="124"/>
      <c r="G75" s="124"/>
      <c r="H75" s="124"/>
      <c r="I75" s="124"/>
      <c r="J75" s="123"/>
      <c r="K75" s="125"/>
      <c r="L75" s="125"/>
      <c r="M75" s="123"/>
      <c r="N75" s="126" t="str">
        <f aca="true">IF(OR(J75="",L75="Cerrado",L75="Cancelado"),"",MAX(0,TODAY()-J75))</f>
        <v/>
      </c>
      <c r="O75" s="124"/>
    </row>
    <row r="76" customFormat="false" ht="15" hidden="false" customHeight="false" outlineLevel="0" collapsed="false">
      <c r="A76" s="122" t="n">
        <v>67</v>
      </c>
      <c r="B76" s="123"/>
      <c r="C76" s="124"/>
      <c r="D76" s="125"/>
      <c r="E76" s="124"/>
      <c r="F76" s="124"/>
      <c r="G76" s="124"/>
      <c r="H76" s="124"/>
      <c r="I76" s="124"/>
      <c r="J76" s="123"/>
      <c r="K76" s="125"/>
      <c r="L76" s="125"/>
      <c r="M76" s="123"/>
      <c r="N76" s="126" t="str">
        <f aca="true">IF(OR(J76="",L76="Cerrado",L76="Cancelado"),"",MAX(0,TODAY()-J76))</f>
        <v/>
      </c>
      <c r="O76" s="124"/>
    </row>
    <row r="77" customFormat="false" ht="15" hidden="false" customHeight="false" outlineLevel="0" collapsed="false">
      <c r="A77" s="122" t="n">
        <v>68</v>
      </c>
      <c r="B77" s="123"/>
      <c r="C77" s="124"/>
      <c r="D77" s="125"/>
      <c r="E77" s="124"/>
      <c r="F77" s="124"/>
      <c r="G77" s="124"/>
      <c r="H77" s="124"/>
      <c r="I77" s="124"/>
      <c r="J77" s="123"/>
      <c r="K77" s="125"/>
      <c r="L77" s="125"/>
      <c r="M77" s="123"/>
      <c r="N77" s="126" t="str">
        <f aca="true">IF(OR(J77="",L77="Cerrado",L77="Cancelado"),"",MAX(0,TODAY()-J77))</f>
        <v/>
      </c>
      <c r="O77" s="124"/>
    </row>
    <row r="78" customFormat="false" ht="15" hidden="false" customHeight="false" outlineLevel="0" collapsed="false">
      <c r="A78" s="122" t="n">
        <v>69</v>
      </c>
      <c r="B78" s="123"/>
      <c r="C78" s="124"/>
      <c r="D78" s="125"/>
      <c r="E78" s="124"/>
      <c r="F78" s="124"/>
      <c r="G78" s="124"/>
      <c r="H78" s="124"/>
      <c r="I78" s="124"/>
      <c r="J78" s="123"/>
      <c r="K78" s="125"/>
      <c r="L78" s="125"/>
      <c r="M78" s="123"/>
      <c r="N78" s="126" t="str">
        <f aca="true">IF(OR(J78="",L78="Cerrado",L78="Cancelado"),"",MAX(0,TODAY()-J78))</f>
        <v/>
      </c>
      <c r="O78" s="124"/>
    </row>
    <row r="79" customFormat="false" ht="15" hidden="false" customHeight="false" outlineLevel="0" collapsed="false">
      <c r="A79" s="122" t="n">
        <v>70</v>
      </c>
      <c r="B79" s="123"/>
      <c r="C79" s="124"/>
      <c r="D79" s="125"/>
      <c r="E79" s="124"/>
      <c r="F79" s="124"/>
      <c r="G79" s="124"/>
      <c r="H79" s="124"/>
      <c r="I79" s="124"/>
      <c r="J79" s="123"/>
      <c r="K79" s="125"/>
      <c r="L79" s="125"/>
      <c r="M79" s="123"/>
      <c r="N79" s="126" t="str">
        <f aca="true">IF(OR(J79="",L79="Cerrado",L79="Cancelado"),"",MAX(0,TODAY()-J79))</f>
        <v/>
      </c>
      <c r="O79" s="124"/>
    </row>
    <row r="80" customFormat="false" ht="15" hidden="false" customHeight="false" outlineLevel="0" collapsed="false">
      <c r="A80" s="122" t="n">
        <v>71</v>
      </c>
      <c r="B80" s="123"/>
      <c r="C80" s="124"/>
      <c r="D80" s="125"/>
      <c r="E80" s="124"/>
      <c r="F80" s="124"/>
      <c r="G80" s="124"/>
      <c r="H80" s="124"/>
      <c r="I80" s="124"/>
      <c r="J80" s="123"/>
      <c r="K80" s="125"/>
      <c r="L80" s="125"/>
      <c r="M80" s="123"/>
      <c r="N80" s="126" t="str">
        <f aca="true">IF(OR(J80="",L80="Cerrado",L80="Cancelado"),"",MAX(0,TODAY()-J80))</f>
        <v/>
      </c>
      <c r="O80" s="124"/>
    </row>
    <row r="81" customFormat="false" ht="15" hidden="false" customHeight="false" outlineLevel="0" collapsed="false">
      <c r="A81" s="122" t="n">
        <v>72</v>
      </c>
      <c r="B81" s="123"/>
      <c r="C81" s="124"/>
      <c r="D81" s="125"/>
      <c r="E81" s="124"/>
      <c r="F81" s="124"/>
      <c r="G81" s="124"/>
      <c r="H81" s="124"/>
      <c r="I81" s="124"/>
      <c r="J81" s="123"/>
      <c r="K81" s="125"/>
      <c r="L81" s="125"/>
      <c r="M81" s="123"/>
      <c r="N81" s="126" t="str">
        <f aca="true">IF(OR(J81="",L81="Cerrado",L81="Cancelado"),"",MAX(0,TODAY()-J81))</f>
        <v/>
      </c>
      <c r="O81" s="124"/>
    </row>
    <row r="82" customFormat="false" ht="15" hidden="false" customHeight="false" outlineLevel="0" collapsed="false">
      <c r="A82" s="122" t="n">
        <v>73</v>
      </c>
      <c r="B82" s="123"/>
      <c r="C82" s="124"/>
      <c r="D82" s="125"/>
      <c r="E82" s="124"/>
      <c r="F82" s="124"/>
      <c r="G82" s="124"/>
      <c r="H82" s="124"/>
      <c r="I82" s="124"/>
      <c r="J82" s="123"/>
      <c r="K82" s="125"/>
      <c r="L82" s="125"/>
      <c r="M82" s="123"/>
      <c r="N82" s="126" t="str">
        <f aca="true">IF(OR(J82="",L82="Cerrado",L82="Cancelado"),"",MAX(0,TODAY()-J82))</f>
        <v/>
      </c>
      <c r="O82" s="124"/>
    </row>
    <row r="83" customFormat="false" ht="15" hidden="false" customHeight="false" outlineLevel="0" collapsed="false">
      <c r="A83" s="122" t="n">
        <v>74</v>
      </c>
      <c r="B83" s="123"/>
      <c r="C83" s="124"/>
      <c r="D83" s="125"/>
      <c r="E83" s="124"/>
      <c r="F83" s="124"/>
      <c r="G83" s="124"/>
      <c r="H83" s="124"/>
      <c r="I83" s="124"/>
      <c r="J83" s="123"/>
      <c r="K83" s="125"/>
      <c r="L83" s="125"/>
      <c r="M83" s="123"/>
      <c r="N83" s="126" t="str">
        <f aca="true">IF(OR(J83="",L83="Cerrado",L83="Cancelado"),"",MAX(0,TODAY()-J83))</f>
        <v/>
      </c>
      <c r="O83" s="124"/>
    </row>
    <row r="84" customFormat="false" ht="15" hidden="false" customHeight="false" outlineLevel="0" collapsed="false">
      <c r="A84" s="122" t="n">
        <v>75</v>
      </c>
      <c r="B84" s="123"/>
      <c r="C84" s="124"/>
      <c r="D84" s="125"/>
      <c r="E84" s="124"/>
      <c r="F84" s="124"/>
      <c r="G84" s="124"/>
      <c r="H84" s="124"/>
      <c r="I84" s="124"/>
      <c r="J84" s="123"/>
      <c r="K84" s="125"/>
      <c r="L84" s="125"/>
      <c r="M84" s="123"/>
      <c r="N84" s="126" t="str">
        <f aca="true">IF(OR(J84="",L84="Cerrado",L84="Cancelado"),"",MAX(0,TODAY()-J84))</f>
        <v/>
      </c>
      <c r="O84" s="124"/>
    </row>
    <row r="85" customFormat="false" ht="15" hidden="false" customHeight="false" outlineLevel="0" collapsed="false">
      <c r="A85" s="122" t="n">
        <v>76</v>
      </c>
      <c r="B85" s="123"/>
      <c r="C85" s="124"/>
      <c r="D85" s="125"/>
      <c r="E85" s="124"/>
      <c r="F85" s="124"/>
      <c r="G85" s="124"/>
      <c r="H85" s="124"/>
      <c r="I85" s="124"/>
      <c r="J85" s="123"/>
      <c r="K85" s="125"/>
      <c r="L85" s="125"/>
      <c r="M85" s="123"/>
      <c r="N85" s="126" t="str">
        <f aca="true">IF(OR(J85="",L85="Cerrado",L85="Cancelado"),"",MAX(0,TODAY()-J85))</f>
        <v/>
      </c>
      <c r="O85" s="124"/>
    </row>
    <row r="86" customFormat="false" ht="15" hidden="false" customHeight="false" outlineLevel="0" collapsed="false">
      <c r="A86" s="122" t="n">
        <v>77</v>
      </c>
      <c r="B86" s="123"/>
      <c r="C86" s="124"/>
      <c r="D86" s="125"/>
      <c r="E86" s="124"/>
      <c r="F86" s="124"/>
      <c r="G86" s="124"/>
      <c r="H86" s="124"/>
      <c r="I86" s="124"/>
      <c r="J86" s="123"/>
      <c r="K86" s="125"/>
      <c r="L86" s="125"/>
      <c r="M86" s="123"/>
      <c r="N86" s="126" t="str">
        <f aca="true">IF(OR(J86="",L86="Cerrado",L86="Cancelado"),"",MAX(0,TODAY()-J86))</f>
        <v/>
      </c>
      <c r="O86" s="124"/>
    </row>
    <row r="87" customFormat="false" ht="15" hidden="false" customHeight="false" outlineLevel="0" collapsed="false">
      <c r="A87" s="122" t="n">
        <v>78</v>
      </c>
      <c r="B87" s="123"/>
      <c r="C87" s="124"/>
      <c r="D87" s="125"/>
      <c r="E87" s="124"/>
      <c r="F87" s="124"/>
      <c r="G87" s="124"/>
      <c r="H87" s="124"/>
      <c r="I87" s="124"/>
      <c r="J87" s="123"/>
      <c r="K87" s="125"/>
      <c r="L87" s="125"/>
      <c r="M87" s="123"/>
      <c r="N87" s="126" t="str">
        <f aca="true">IF(OR(J87="",L87="Cerrado",L87="Cancelado"),"",MAX(0,TODAY()-J87))</f>
        <v/>
      </c>
      <c r="O87" s="124"/>
    </row>
    <row r="88" customFormat="false" ht="15" hidden="false" customHeight="false" outlineLevel="0" collapsed="false">
      <c r="A88" s="122" t="n">
        <v>79</v>
      </c>
      <c r="B88" s="123"/>
      <c r="C88" s="124"/>
      <c r="D88" s="125"/>
      <c r="E88" s="124"/>
      <c r="F88" s="124"/>
      <c r="G88" s="124"/>
      <c r="H88" s="124"/>
      <c r="I88" s="124"/>
      <c r="J88" s="123"/>
      <c r="K88" s="125"/>
      <c r="L88" s="125"/>
      <c r="M88" s="123"/>
      <c r="N88" s="126" t="str">
        <f aca="true">IF(OR(J88="",L88="Cerrado",L88="Cancelado"),"",MAX(0,TODAY()-J88))</f>
        <v/>
      </c>
      <c r="O88" s="124"/>
    </row>
    <row r="89" customFormat="false" ht="15" hidden="false" customHeight="false" outlineLevel="0" collapsed="false">
      <c r="A89" s="122" t="n">
        <v>80</v>
      </c>
      <c r="B89" s="123"/>
      <c r="C89" s="124"/>
      <c r="D89" s="125"/>
      <c r="E89" s="124"/>
      <c r="F89" s="124"/>
      <c r="G89" s="124"/>
      <c r="H89" s="124"/>
      <c r="I89" s="124"/>
      <c r="J89" s="123"/>
      <c r="K89" s="125"/>
      <c r="L89" s="125"/>
      <c r="M89" s="123"/>
      <c r="N89" s="126" t="str">
        <f aca="true">IF(OR(J89="",L89="Cerrado",L89="Cancelado"),"",MAX(0,TODAY()-J89))</f>
        <v/>
      </c>
      <c r="O89" s="124"/>
    </row>
    <row r="90" customFormat="false" ht="15" hidden="false" customHeight="false" outlineLevel="0" collapsed="false">
      <c r="A90" s="122" t="n">
        <v>81</v>
      </c>
      <c r="B90" s="123"/>
      <c r="C90" s="124"/>
      <c r="D90" s="125"/>
      <c r="E90" s="124"/>
      <c r="F90" s="124"/>
      <c r="G90" s="124"/>
      <c r="H90" s="124"/>
      <c r="I90" s="124"/>
      <c r="J90" s="123"/>
      <c r="K90" s="125"/>
      <c r="L90" s="125"/>
      <c r="M90" s="123"/>
      <c r="N90" s="126" t="str">
        <f aca="true">IF(OR(J90="",L90="Cerrado",L90="Cancelado"),"",MAX(0,TODAY()-J90))</f>
        <v/>
      </c>
      <c r="O90" s="124"/>
    </row>
    <row r="91" customFormat="false" ht="15" hidden="false" customHeight="false" outlineLevel="0" collapsed="false">
      <c r="A91" s="122" t="n">
        <v>82</v>
      </c>
      <c r="B91" s="123"/>
      <c r="C91" s="124"/>
      <c r="D91" s="125"/>
      <c r="E91" s="124"/>
      <c r="F91" s="124"/>
      <c r="G91" s="124"/>
      <c r="H91" s="124"/>
      <c r="I91" s="124"/>
      <c r="J91" s="123"/>
      <c r="K91" s="125"/>
      <c r="L91" s="125"/>
      <c r="M91" s="123"/>
      <c r="N91" s="126" t="str">
        <f aca="true">IF(OR(J91="",L91="Cerrado",L91="Cancelado"),"",MAX(0,TODAY()-J91))</f>
        <v/>
      </c>
      <c r="O91" s="124"/>
    </row>
    <row r="92" customFormat="false" ht="15" hidden="false" customHeight="false" outlineLevel="0" collapsed="false">
      <c r="A92" s="122" t="n">
        <v>83</v>
      </c>
      <c r="B92" s="123"/>
      <c r="C92" s="124"/>
      <c r="D92" s="125"/>
      <c r="E92" s="124"/>
      <c r="F92" s="124"/>
      <c r="G92" s="124"/>
      <c r="H92" s="124"/>
      <c r="I92" s="124"/>
      <c r="J92" s="123"/>
      <c r="K92" s="125"/>
      <c r="L92" s="125"/>
      <c r="M92" s="123"/>
      <c r="N92" s="126" t="str">
        <f aca="true">IF(OR(J92="",L92="Cerrado",L92="Cancelado"),"",MAX(0,TODAY()-J92))</f>
        <v/>
      </c>
      <c r="O92" s="124"/>
    </row>
    <row r="93" customFormat="false" ht="15" hidden="false" customHeight="false" outlineLevel="0" collapsed="false">
      <c r="A93" s="122" t="n">
        <v>84</v>
      </c>
      <c r="B93" s="123"/>
      <c r="C93" s="124"/>
      <c r="D93" s="125"/>
      <c r="E93" s="124"/>
      <c r="F93" s="124"/>
      <c r="G93" s="124"/>
      <c r="H93" s="124"/>
      <c r="I93" s="124"/>
      <c r="J93" s="123"/>
      <c r="K93" s="125"/>
      <c r="L93" s="125"/>
      <c r="M93" s="123"/>
      <c r="N93" s="126" t="str">
        <f aca="true">IF(OR(J93="",L93="Cerrado",L93="Cancelado"),"",MAX(0,TODAY()-J93))</f>
        <v/>
      </c>
      <c r="O93" s="124"/>
    </row>
    <row r="94" customFormat="false" ht="15" hidden="false" customHeight="false" outlineLevel="0" collapsed="false">
      <c r="A94" s="122" t="n">
        <v>85</v>
      </c>
      <c r="B94" s="123"/>
      <c r="C94" s="124"/>
      <c r="D94" s="125"/>
      <c r="E94" s="124"/>
      <c r="F94" s="124"/>
      <c r="G94" s="124"/>
      <c r="H94" s="124"/>
      <c r="I94" s="124"/>
      <c r="J94" s="123"/>
      <c r="K94" s="125"/>
      <c r="L94" s="125"/>
      <c r="M94" s="123"/>
      <c r="N94" s="126" t="str">
        <f aca="true">IF(OR(J94="",L94="Cerrado",L94="Cancelado"),"",MAX(0,TODAY()-J94))</f>
        <v/>
      </c>
      <c r="O94" s="124"/>
    </row>
    <row r="95" customFormat="false" ht="15" hidden="false" customHeight="false" outlineLevel="0" collapsed="false">
      <c r="A95" s="122" t="n">
        <v>86</v>
      </c>
      <c r="B95" s="123"/>
      <c r="C95" s="124"/>
      <c r="D95" s="125"/>
      <c r="E95" s="124"/>
      <c r="F95" s="124"/>
      <c r="G95" s="124"/>
      <c r="H95" s="124"/>
      <c r="I95" s="124"/>
      <c r="J95" s="123"/>
      <c r="K95" s="125"/>
      <c r="L95" s="125"/>
      <c r="M95" s="123"/>
      <c r="N95" s="126" t="str">
        <f aca="true">IF(OR(J95="",L95="Cerrado",L95="Cancelado"),"",MAX(0,TODAY()-J95))</f>
        <v/>
      </c>
      <c r="O95" s="124"/>
    </row>
    <row r="96" customFormat="false" ht="15" hidden="false" customHeight="false" outlineLevel="0" collapsed="false">
      <c r="A96" s="122" t="n">
        <v>87</v>
      </c>
      <c r="B96" s="123"/>
      <c r="C96" s="124"/>
      <c r="D96" s="125"/>
      <c r="E96" s="124"/>
      <c r="F96" s="124"/>
      <c r="G96" s="124"/>
      <c r="H96" s="124"/>
      <c r="I96" s="124"/>
      <c r="J96" s="123"/>
      <c r="K96" s="125"/>
      <c r="L96" s="125"/>
      <c r="M96" s="123"/>
      <c r="N96" s="126" t="str">
        <f aca="true">IF(OR(J96="",L96="Cerrado",L96="Cancelado"),"",MAX(0,TODAY()-J96))</f>
        <v/>
      </c>
      <c r="O96" s="124"/>
    </row>
    <row r="97" customFormat="false" ht="15" hidden="false" customHeight="false" outlineLevel="0" collapsed="false">
      <c r="A97" s="122" t="n">
        <v>88</v>
      </c>
      <c r="B97" s="123"/>
      <c r="C97" s="124"/>
      <c r="D97" s="125"/>
      <c r="E97" s="124"/>
      <c r="F97" s="124"/>
      <c r="G97" s="124"/>
      <c r="H97" s="124"/>
      <c r="I97" s="124"/>
      <c r="J97" s="123"/>
      <c r="K97" s="125"/>
      <c r="L97" s="125"/>
      <c r="M97" s="123"/>
      <c r="N97" s="126" t="str">
        <f aca="true">IF(OR(J97="",L97="Cerrado",L97="Cancelado"),"",MAX(0,TODAY()-J97))</f>
        <v/>
      </c>
      <c r="O97" s="124"/>
    </row>
    <row r="98" customFormat="false" ht="15" hidden="false" customHeight="false" outlineLevel="0" collapsed="false">
      <c r="A98" s="122" t="n">
        <v>89</v>
      </c>
      <c r="B98" s="123"/>
      <c r="C98" s="124"/>
      <c r="D98" s="125"/>
      <c r="E98" s="124"/>
      <c r="F98" s="124"/>
      <c r="G98" s="124"/>
      <c r="H98" s="124"/>
      <c r="I98" s="124"/>
      <c r="J98" s="123"/>
      <c r="K98" s="125"/>
      <c r="L98" s="125"/>
      <c r="M98" s="123"/>
      <c r="N98" s="126" t="str">
        <f aca="true">IF(OR(J98="",L98="Cerrado",L98="Cancelado"),"",MAX(0,TODAY()-J98))</f>
        <v/>
      </c>
      <c r="O98" s="124"/>
    </row>
    <row r="99" customFormat="false" ht="15" hidden="false" customHeight="false" outlineLevel="0" collapsed="false">
      <c r="A99" s="122" t="n">
        <v>90</v>
      </c>
      <c r="B99" s="123"/>
      <c r="C99" s="124"/>
      <c r="D99" s="125"/>
      <c r="E99" s="124"/>
      <c r="F99" s="124"/>
      <c r="G99" s="124"/>
      <c r="H99" s="124"/>
      <c r="I99" s="124"/>
      <c r="J99" s="123"/>
      <c r="K99" s="125"/>
      <c r="L99" s="125"/>
      <c r="M99" s="123"/>
      <c r="N99" s="126" t="str">
        <f aca="true">IF(OR(J99="",L99="Cerrado",L99="Cancelado"),"",MAX(0,TODAY()-J99))</f>
        <v/>
      </c>
      <c r="O99" s="124"/>
    </row>
    <row r="100" customFormat="false" ht="15" hidden="false" customHeight="false" outlineLevel="0" collapsed="false">
      <c r="A100" s="122" t="n">
        <v>91</v>
      </c>
      <c r="B100" s="123"/>
      <c r="C100" s="124"/>
      <c r="D100" s="125"/>
      <c r="E100" s="124"/>
      <c r="F100" s="124"/>
      <c r="G100" s="124"/>
      <c r="H100" s="124"/>
      <c r="I100" s="124"/>
      <c r="J100" s="123"/>
      <c r="K100" s="125"/>
      <c r="L100" s="125"/>
      <c r="M100" s="123"/>
      <c r="N100" s="126" t="str">
        <f aca="true">IF(OR(J100="",L100="Cerrado",L100="Cancelado"),"",MAX(0,TODAY()-J100))</f>
        <v/>
      </c>
      <c r="O100" s="124"/>
    </row>
    <row r="101" customFormat="false" ht="15" hidden="false" customHeight="false" outlineLevel="0" collapsed="false">
      <c r="A101" s="122" t="n">
        <v>92</v>
      </c>
      <c r="B101" s="123"/>
      <c r="C101" s="124"/>
      <c r="D101" s="125"/>
      <c r="E101" s="124"/>
      <c r="F101" s="124"/>
      <c r="G101" s="124"/>
      <c r="H101" s="124"/>
      <c r="I101" s="124"/>
      <c r="J101" s="123"/>
      <c r="K101" s="125"/>
      <c r="L101" s="125"/>
      <c r="M101" s="123"/>
      <c r="N101" s="126" t="str">
        <f aca="true">IF(OR(J101="",L101="Cerrado",L101="Cancelado"),"",MAX(0,TODAY()-J101))</f>
        <v/>
      </c>
      <c r="O101" s="124"/>
    </row>
    <row r="102" customFormat="false" ht="15" hidden="false" customHeight="false" outlineLevel="0" collapsed="false">
      <c r="A102" s="122" t="n">
        <v>93</v>
      </c>
      <c r="B102" s="123"/>
      <c r="C102" s="124"/>
      <c r="D102" s="125"/>
      <c r="E102" s="124"/>
      <c r="F102" s="124"/>
      <c r="G102" s="124"/>
      <c r="H102" s="124"/>
      <c r="I102" s="124"/>
      <c r="J102" s="123"/>
      <c r="K102" s="125"/>
      <c r="L102" s="125"/>
      <c r="M102" s="123"/>
      <c r="N102" s="126" t="str">
        <f aca="true">IF(OR(J102="",L102="Cerrado",L102="Cancelado"),"",MAX(0,TODAY()-J102))</f>
        <v/>
      </c>
      <c r="O102" s="124"/>
    </row>
    <row r="103" customFormat="false" ht="15" hidden="false" customHeight="false" outlineLevel="0" collapsed="false">
      <c r="A103" s="122" t="n">
        <v>94</v>
      </c>
      <c r="B103" s="123"/>
      <c r="C103" s="124"/>
      <c r="D103" s="125"/>
      <c r="E103" s="124"/>
      <c r="F103" s="124"/>
      <c r="G103" s="124"/>
      <c r="H103" s="124"/>
      <c r="I103" s="124"/>
      <c r="J103" s="123"/>
      <c r="K103" s="125"/>
      <c r="L103" s="125"/>
      <c r="M103" s="123"/>
      <c r="N103" s="126" t="str">
        <f aca="true">IF(OR(J103="",L103="Cerrado",L103="Cancelado"),"",MAX(0,TODAY()-J103))</f>
        <v/>
      </c>
      <c r="O103" s="124"/>
    </row>
    <row r="104" customFormat="false" ht="15" hidden="false" customHeight="false" outlineLevel="0" collapsed="false">
      <c r="A104" s="122" t="n">
        <v>95</v>
      </c>
      <c r="B104" s="123"/>
      <c r="C104" s="124"/>
      <c r="D104" s="125"/>
      <c r="E104" s="124"/>
      <c r="F104" s="124"/>
      <c r="G104" s="124"/>
      <c r="H104" s="124"/>
      <c r="I104" s="124"/>
      <c r="J104" s="123"/>
      <c r="K104" s="125"/>
      <c r="L104" s="125"/>
      <c r="M104" s="123"/>
      <c r="N104" s="126" t="str">
        <f aca="true">IF(OR(J104="",L104="Cerrado",L104="Cancelado"),"",MAX(0,TODAY()-J104))</f>
        <v/>
      </c>
      <c r="O104" s="124"/>
    </row>
    <row r="105" customFormat="false" ht="15" hidden="false" customHeight="false" outlineLevel="0" collapsed="false">
      <c r="A105" s="122" t="n">
        <v>96</v>
      </c>
      <c r="B105" s="123"/>
      <c r="C105" s="124"/>
      <c r="D105" s="125"/>
      <c r="E105" s="124"/>
      <c r="F105" s="124"/>
      <c r="G105" s="124"/>
      <c r="H105" s="124"/>
      <c r="I105" s="124"/>
      <c r="J105" s="123"/>
      <c r="K105" s="125"/>
      <c r="L105" s="125"/>
      <c r="M105" s="123"/>
      <c r="N105" s="126" t="str">
        <f aca="true">IF(OR(J105="",L105="Cerrado",L105="Cancelado"),"",MAX(0,TODAY()-J105))</f>
        <v/>
      </c>
      <c r="O105" s="124"/>
    </row>
    <row r="106" customFormat="false" ht="15" hidden="false" customHeight="false" outlineLevel="0" collapsed="false">
      <c r="A106" s="122" t="n">
        <v>97</v>
      </c>
      <c r="B106" s="123"/>
      <c r="C106" s="124"/>
      <c r="D106" s="125"/>
      <c r="E106" s="124"/>
      <c r="F106" s="124"/>
      <c r="G106" s="124"/>
      <c r="H106" s="124"/>
      <c r="I106" s="124"/>
      <c r="J106" s="123"/>
      <c r="K106" s="125"/>
      <c r="L106" s="125"/>
      <c r="M106" s="123"/>
      <c r="N106" s="126" t="str">
        <f aca="true">IF(OR(J106="",L106="Cerrado",L106="Cancelado"),"",MAX(0,TODAY()-J106))</f>
        <v/>
      </c>
      <c r="O106" s="124"/>
    </row>
    <row r="107" customFormat="false" ht="15" hidden="false" customHeight="false" outlineLevel="0" collapsed="false">
      <c r="A107" s="122" t="n">
        <v>98</v>
      </c>
      <c r="B107" s="123"/>
      <c r="C107" s="124"/>
      <c r="D107" s="125"/>
      <c r="E107" s="124"/>
      <c r="F107" s="124"/>
      <c r="G107" s="124"/>
      <c r="H107" s="124"/>
      <c r="I107" s="124"/>
      <c r="J107" s="123"/>
      <c r="K107" s="125"/>
      <c r="L107" s="125"/>
      <c r="M107" s="123"/>
      <c r="N107" s="126" t="str">
        <f aca="true">IF(OR(J107="",L107="Cerrado",L107="Cancelado"),"",MAX(0,TODAY()-J107))</f>
        <v/>
      </c>
      <c r="O107" s="124"/>
    </row>
    <row r="108" customFormat="false" ht="15" hidden="false" customHeight="false" outlineLevel="0" collapsed="false">
      <c r="A108" s="122" t="n">
        <v>99</v>
      </c>
      <c r="B108" s="123"/>
      <c r="C108" s="124"/>
      <c r="D108" s="125"/>
      <c r="E108" s="124"/>
      <c r="F108" s="124"/>
      <c r="G108" s="124"/>
      <c r="H108" s="124"/>
      <c r="I108" s="124"/>
      <c r="J108" s="123"/>
      <c r="K108" s="125"/>
      <c r="L108" s="125"/>
      <c r="M108" s="123"/>
      <c r="N108" s="126" t="str">
        <f aca="true">IF(OR(J108="",L108="Cerrado",L108="Cancelado"),"",MAX(0,TODAY()-J108))</f>
        <v/>
      </c>
      <c r="O108" s="124"/>
    </row>
    <row r="109" customFormat="false" ht="15" hidden="false" customHeight="false" outlineLevel="0" collapsed="false">
      <c r="A109" s="122" t="n">
        <v>100</v>
      </c>
      <c r="B109" s="123"/>
      <c r="C109" s="124"/>
      <c r="D109" s="125"/>
      <c r="E109" s="124"/>
      <c r="F109" s="124"/>
      <c r="G109" s="124"/>
      <c r="H109" s="124"/>
      <c r="I109" s="124"/>
      <c r="J109" s="123"/>
      <c r="K109" s="125"/>
      <c r="L109" s="125"/>
      <c r="M109" s="123"/>
      <c r="N109" s="126" t="str">
        <f aca="true">IF(OR(J109="",L109="Cerrado",L109="Cancelado"),"",MAX(0,TODAY()-J109))</f>
        <v/>
      </c>
      <c r="O109" s="124"/>
    </row>
    <row r="110" customFormat="false" ht="15" hidden="false" customHeight="false" outlineLevel="0" collapsed="false">
      <c r="A110" s="122" t="n">
        <v>101</v>
      </c>
      <c r="B110" s="123"/>
      <c r="C110" s="124"/>
      <c r="D110" s="125"/>
      <c r="E110" s="124"/>
      <c r="F110" s="124"/>
      <c r="G110" s="124"/>
      <c r="H110" s="124"/>
      <c r="I110" s="124"/>
      <c r="J110" s="123"/>
      <c r="K110" s="125"/>
      <c r="L110" s="125"/>
      <c r="M110" s="123"/>
      <c r="N110" s="126" t="str">
        <f aca="true">IF(OR(J110="",L110="Cerrado",L110="Cancelado"),"",MAX(0,TODAY()-J110))</f>
        <v/>
      </c>
      <c r="O110" s="124"/>
    </row>
    <row r="111" customFormat="false" ht="15" hidden="false" customHeight="false" outlineLevel="0" collapsed="false">
      <c r="A111" s="122" t="n">
        <v>102</v>
      </c>
      <c r="B111" s="123"/>
      <c r="C111" s="124"/>
      <c r="D111" s="125"/>
      <c r="E111" s="124"/>
      <c r="F111" s="124"/>
      <c r="G111" s="124"/>
      <c r="H111" s="124"/>
      <c r="I111" s="124"/>
      <c r="J111" s="123"/>
      <c r="K111" s="125"/>
      <c r="L111" s="125"/>
      <c r="M111" s="123"/>
      <c r="N111" s="126" t="str">
        <f aca="true">IF(OR(J111="",L111="Cerrado",L111="Cancelado"),"",MAX(0,TODAY()-J111))</f>
        <v/>
      </c>
      <c r="O111" s="124"/>
    </row>
    <row r="112" customFormat="false" ht="15" hidden="false" customHeight="false" outlineLevel="0" collapsed="false">
      <c r="A112" s="122" t="n">
        <v>103</v>
      </c>
      <c r="B112" s="123"/>
      <c r="C112" s="124"/>
      <c r="D112" s="125"/>
      <c r="E112" s="124"/>
      <c r="F112" s="124"/>
      <c r="G112" s="124"/>
      <c r="H112" s="124"/>
      <c r="I112" s="124"/>
      <c r="J112" s="123"/>
      <c r="K112" s="125"/>
      <c r="L112" s="125"/>
      <c r="M112" s="123"/>
      <c r="N112" s="126" t="str">
        <f aca="true">IF(OR(J112="",L112="Cerrado",L112="Cancelado"),"",MAX(0,TODAY()-J112))</f>
        <v/>
      </c>
      <c r="O112" s="124"/>
    </row>
    <row r="113" customFormat="false" ht="15" hidden="false" customHeight="false" outlineLevel="0" collapsed="false">
      <c r="A113" s="122" t="n">
        <v>104</v>
      </c>
      <c r="B113" s="123"/>
      <c r="C113" s="124"/>
      <c r="D113" s="125"/>
      <c r="E113" s="124"/>
      <c r="F113" s="124"/>
      <c r="G113" s="124"/>
      <c r="H113" s="124"/>
      <c r="I113" s="124"/>
      <c r="J113" s="123"/>
      <c r="K113" s="125"/>
      <c r="L113" s="125"/>
      <c r="M113" s="123"/>
      <c r="N113" s="126" t="str">
        <f aca="true">IF(OR(J113="",L113="Cerrado",L113="Cancelado"),"",MAX(0,TODAY()-J113))</f>
        <v/>
      </c>
      <c r="O113" s="124"/>
    </row>
    <row r="114" customFormat="false" ht="15" hidden="false" customHeight="false" outlineLevel="0" collapsed="false">
      <c r="A114" s="122" t="n">
        <v>105</v>
      </c>
      <c r="B114" s="123"/>
      <c r="C114" s="124"/>
      <c r="D114" s="125"/>
      <c r="E114" s="124"/>
      <c r="F114" s="124"/>
      <c r="G114" s="124"/>
      <c r="H114" s="124"/>
      <c r="I114" s="124"/>
      <c r="J114" s="123"/>
      <c r="K114" s="125"/>
      <c r="L114" s="125"/>
      <c r="M114" s="123"/>
      <c r="N114" s="126" t="str">
        <f aca="true">IF(OR(J114="",L114="Cerrado",L114="Cancelado"),"",MAX(0,TODAY()-J114))</f>
        <v/>
      </c>
      <c r="O114" s="124"/>
    </row>
    <row r="115" customFormat="false" ht="15" hidden="false" customHeight="false" outlineLevel="0" collapsed="false">
      <c r="A115" s="122" t="n">
        <v>106</v>
      </c>
      <c r="B115" s="123"/>
      <c r="C115" s="124"/>
      <c r="D115" s="125"/>
      <c r="E115" s="124"/>
      <c r="F115" s="124"/>
      <c r="G115" s="124"/>
      <c r="H115" s="124"/>
      <c r="I115" s="124"/>
      <c r="J115" s="123"/>
      <c r="K115" s="125"/>
      <c r="L115" s="125"/>
      <c r="M115" s="123"/>
      <c r="N115" s="126" t="str">
        <f aca="true">IF(OR(J115="",L115="Cerrado",L115="Cancelado"),"",MAX(0,TODAY()-J115))</f>
        <v/>
      </c>
      <c r="O115" s="124"/>
    </row>
    <row r="116" customFormat="false" ht="15" hidden="false" customHeight="false" outlineLevel="0" collapsed="false">
      <c r="A116" s="122" t="n">
        <v>107</v>
      </c>
      <c r="B116" s="123"/>
      <c r="C116" s="124"/>
      <c r="D116" s="125"/>
      <c r="E116" s="124"/>
      <c r="F116" s="124"/>
      <c r="G116" s="124"/>
      <c r="H116" s="124"/>
      <c r="I116" s="124"/>
      <c r="J116" s="123"/>
      <c r="K116" s="125"/>
      <c r="L116" s="125"/>
      <c r="M116" s="123"/>
      <c r="N116" s="126" t="str">
        <f aca="true">IF(OR(J116="",L116="Cerrado",L116="Cancelado"),"",MAX(0,TODAY()-J116))</f>
        <v/>
      </c>
      <c r="O116" s="124"/>
    </row>
    <row r="117" customFormat="false" ht="15" hidden="false" customHeight="false" outlineLevel="0" collapsed="false">
      <c r="A117" s="122" t="n">
        <v>108</v>
      </c>
      <c r="B117" s="123"/>
      <c r="C117" s="124"/>
      <c r="D117" s="125"/>
      <c r="E117" s="124"/>
      <c r="F117" s="124"/>
      <c r="G117" s="124"/>
      <c r="H117" s="124"/>
      <c r="I117" s="124"/>
      <c r="J117" s="123"/>
      <c r="K117" s="125"/>
      <c r="L117" s="125"/>
      <c r="M117" s="123"/>
      <c r="N117" s="126" t="str">
        <f aca="true">IF(OR(J117="",L117="Cerrado",L117="Cancelado"),"",MAX(0,TODAY()-J117))</f>
        <v/>
      </c>
      <c r="O117" s="124"/>
    </row>
    <row r="118" customFormat="false" ht="15" hidden="false" customHeight="false" outlineLevel="0" collapsed="false">
      <c r="A118" s="122" t="n">
        <v>109</v>
      </c>
      <c r="B118" s="123"/>
      <c r="C118" s="124"/>
      <c r="D118" s="125"/>
      <c r="E118" s="124"/>
      <c r="F118" s="124"/>
      <c r="G118" s="124"/>
      <c r="H118" s="124"/>
      <c r="I118" s="124"/>
      <c r="J118" s="123"/>
      <c r="K118" s="125"/>
      <c r="L118" s="125"/>
      <c r="M118" s="123"/>
      <c r="N118" s="126" t="str">
        <f aca="true">IF(OR(J118="",L118="Cerrado",L118="Cancelado"),"",MAX(0,TODAY()-J118))</f>
        <v/>
      </c>
      <c r="O118" s="124"/>
    </row>
    <row r="119" customFormat="false" ht="15" hidden="false" customHeight="false" outlineLevel="0" collapsed="false">
      <c r="A119" s="122" t="n">
        <v>110</v>
      </c>
      <c r="B119" s="123"/>
      <c r="C119" s="124"/>
      <c r="D119" s="125"/>
      <c r="E119" s="124"/>
      <c r="F119" s="124"/>
      <c r="G119" s="124"/>
      <c r="H119" s="124"/>
      <c r="I119" s="124"/>
      <c r="J119" s="123"/>
      <c r="K119" s="125"/>
      <c r="L119" s="125"/>
      <c r="M119" s="123"/>
      <c r="N119" s="126" t="str">
        <f aca="true">IF(OR(J119="",L119="Cerrado",L119="Cancelado"),"",MAX(0,TODAY()-J119))</f>
        <v/>
      </c>
      <c r="O119" s="124"/>
    </row>
    <row r="120" customFormat="false" ht="15" hidden="false" customHeight="false" outlineLevel="0" collapsed="false">
      <c r="A120" s="122" t="n">
        <v>111</v>
      </c>
      <c r="B120" s="123"/>
      <c r="C120" s="124"/>
      <c r="D120" s="125"/>
      <c r="E120" s="124"/>
      <c r="F120" s="124"/>
      <c r="G120" s="124"/>
      <c r="H120" s="124"/>
      <c r="I120" s="124"/>
      <c r="J120" s="123"/>
      <c r="K120" s="125"/>
      <c r="L120" s="125"/>
      <c r="M120" s="123"/>
      <c r="N120" s="126" t="str">
        <f aca="true">IF(OR(J120="",L120="Cerrado",L120="Cancelado"),"",MAX(0,TODAY()-J120))</f>
        <v/>
      </c>
      <c r="O120" s="124"/>
    </row>
    <row r="121" customFormat="false" ht="15" hidden="false" customHeight="false" outlineLevel="0" collapsed="false">
      <c r="A121" s="122" t="n">
        <v>112</v>
      </c>
      <c r="B121" s="123"/>
      <c r="C121" s="124"/>
      <c r="D121" s="125"/>
      <c r="E121" s="124"/>
      <c r="F121" s="124"/>
      <c r="G121" s="124"/>
      <c r="H121" s="124"/>
      <c r="I121" s="124"/>
      <c r="J121" s="123"/>
      <c r="K121" s="125"/>
      <c r="L121" s="125"/>
      <c r="M121" s="123"/>
      <c r="N121" s="126" t="str">
        <f aca="true">IF(OR(J121="",L121="Cerrado",L121="Cancelado"),"",MAX(0,TODAY()-J121))</f>
        <v/>
      </c>
      <c r="O121" s="124"/>
    </row>
    <row r="122" customFormat="false" ht="15" hidden="false" customHeight="false" outlineLevel="0" collapsed="false">
      <c r="A122" s="122" t="n">
        <v>113</v>
      </c>
      <c r="B122" s="123"/>
      <c r="C122" s="124"/>
      <c r="D122" s="125"/>
      <c r="E122" s="124"/>
      <c r="F122" s="124"/>
      <c r="G122" s="124"/>
      <c r="H122" s="124"/>
      <c r="I122" s="124"/>
      <c r="J122" s="123"/>
      <c r="K122" s="125"/>
      <c r="L122" s="125"/>
      <c r="M122" s="123"/>
      <c r="N122" s="126" t="str">
        <f aca="true">IF(OR(J122="",L122="Cerrado",L122="Cancelado"),"",MAX(0,TODAY()-J122))</f>
        <v/>
      </c>
      <c r="O122" s="124"/>
    </row>
    <row r="123" customFormat="false" ht="15" hidden="false" customHeight="false" outlineLevel="0" collapsed="false">
      <c r="A123" s="122" t="n">
        <v>114</v>
      </c>
      <c r="B123" s="123"/>
      <c r="C123" s="124"/>
      <c r="D123" s="125"/>
      <c r="E123" s="124"/>
      <c r="F123" s="124"/>
      <c r="G123" s="124"/>
      <c r="H123" s="124"/>
      <c r="I123" s="124"/>
      <c r="J123" s="123"/>
      <c r="K123" s="125"/>
      <c r="L123" s="125"/>
      <c r="M123" s="123"/>
      <c r="N123" s="126" t="str">
        <f aca="true">IF(OR(J123="",L123="Cerrado",L123="Cancelado"),"",MAX(0,TODAY()-J123))</f>
        <v/>
      </c>
      <c r="O123" s="124"/>
    </row>
    <row r="124" customFormat="false" ht="15" hidden="false" customHeight="false" outlineLevel="0" collapsed="false">
      <c r="A124" s="122" t="n">
        <v>115</v>
      </c>
      <c r="B124" s="123"/>
      <c r="C124" s="124"/>
      <c r="D124" s="125"/>
      <c r="E124" s="124"/>
      <c r="F124" s="124"/>
      <c r="G124" s="124"/>
      <c r="H124" s="124"/>
      <c r="I124" s="124"/>
      <c r="J124" s="123"/>
      <c r="K124" s="125"/>
      <c r="L124" s="125"/>
      <c r="M124" s="123"/>
      <c r="N124" s="126" t="str">
        <f aca="true">IF(OR(J124="",L124="Cerrado",L124="Cancelado"),"",MAX(0,TODAY()-J124))</f>
        <v/>
      </c>
      <c r="O124" s="124"/>
    </row>
    <row r="125" customFormat="false" ht="15" hidden="false" customHeight="false" outlineLevel="0" collapsed="false">
      <c r="A125" s="122" t="n">
        <v>116</v>
      </c>
      <c r="B125" s="123"/>
      <c r="C125" s="124"/>
      <c r="D125" s="125"/>
      <c r="E125" s="124"/>
      <c r="F125" s="124"/>
      <c r="G125" s="124"/>
      <c r="H125" s="124"/>
      <c r="I125" s="124"/>
      <c r="J125" s="123"/>
      <c r="K125" s="125"/>
      <c r="L125" s="125"/>
      <c r="M125" s="123"/>
      <c r="N125" s="126" t="str">
        <f aca="true">IF(OR(J125="",L125="Cerrado",L125="Cancelado"),"",MAX(0,TODAY()-J125))</f>
        <v/>
      </c>
      <c r="O125" s="124"/>
    </row>
    <row r="126" customFormat="false" ht="15" hidden="false" customHeight="false" outlineLevel="0" collapsed="false">
      <c r="A126" s="122" t="n">
        <v>117</v>
      </c>
      <c r="B126" s="123"/>
      <c r="C126" s="124"/>
      <c r="D126" s="125"/>
      <c r="E126" s="124"/>
      <c r="F126" s="124"/>
      <c r="G126" s="124"/>
      <c r="H126" s="124"/>
      <c r="I126" s="124"/>
      <c r="J126" s="123"/>
      <c r="K126" s="125"/>
      <c r="L126" s="125"/>
      <c r="M126" s="123"/>
      <c r="N126" s="126" t="str">
        <f aca="true">IF(OR(J126="",L126="Cerrado",L126="Cancelado"),"",MAX(0,TODAY()-J126))</f>
        <v/>
      </c>
      <c r="O126" s="124"/>
    </row>
    <row r="127" customFormat="false" ht="15" hidden="false" customHeight="false" outlineLevel="0" collapsed="false">
      <c r="A127" s="122" t="n">
        <v>118</v>
      </c>
      <c r="B127" s="123"/>
      <c r="C127" s="124"/>
      <c r="D127" s="125"/>
      <c r="E127" s="124"/>
      <c r="F127" s="124"/>
      <c r="G127" s="124"/>
      <c r="H127" s="124"/>
      <c r="I127" s="124"/>
      <c r="J127" s="123"/>
      <c r="K127" s="125"/>
      <c r="L127" s="125"/>
      <c r="M127" s="123"/>
      <c r="N127" s="126" t="str">
        <f aca="true">IF(OR(J127="",L127="Cerrado",L127="Cancelado"),"",MAX(0,TODAY()-J127))</f>
        <v/>
      </c>
      <c r="O127" s="124"/>
    </row>
    <row r="128" customFormat="false" ht="15" hidden="false" customHeight="false" outlineLevel="0" collapsed="false">
      <c r="A128" s="122" t="n">
        <v>119</v>
      </c>
      <c r="B128" s="123"/>
      <c r="C128" s="124"/>
      <c r="D128" s="125"/>
      <c r="E128" s="124"/>
      <c r="F128" s="124"/>
      <c r="G128" s="124"/>
      <c r="H128" s="124"/>
      <c r="I128" s="124"/>
      <c r="J128" s="123"/>
      <c r="K128" s="125"/>
      <c r="L128" s="125"/>
      <c r="M128" s="123"/>
      <c r="N128" s="126" t="str">
        <f aca="true">IF(OR(J128="",L128="Cerrado",L128="Cancelado"),"",MAX(0,TODAY()-J128))</f>
        <v/>
      </c>
      <c r="O128" s="124"/>
    </row>
    <row r="129" customFormat="false" ht="15" hidden="false" customHeight="false" outlineLevel="0" collapsed="false">
      <c r="A129" s="122" t="n">
        <v>120</v>
      </c>
      <c r="B129" s="123"/>
      <c r="C129" s="124"/>
      <c r="D129" s="125"/>
      <c r="E129" s="124"/>
      <c r="F129" s="124"/>
      <c r="G129" s="124"/>
      <c r="H129" s="124"/>
      <c r="I129" s="124"/>
      <c r="J129" s="123"/>
      <c r="K129" s="125"/>
      <c r="L129" s="125"/>
      <c r="M129" s="123"/>
      <c r="N129" s="126" t="str">
        <f aca="true">IF(OR(J129="",L129="Cerrado",L129="Cancelado"),"",MAX(0,TODAY()-J129))</f>
        <v/>
      </c>
      <c r="O129" s="124"/>
    </row>
    <row r="130" customFormat="false" ht="15" hidden="false" customHeight="false" outlineLevel="0" collapsed="false">
      <c r="A130" s="122" t="n">
        <v>121</v>
      </c>
      <c r="B130" s="123"/>
      <c r="C130" s="124"/>
      <c r="D130" s="125"/>
      <c r="E130" s="124"/>
      <c r="F130" s="124"/>
      <c r="G130" s="124"/>
      <c r="H130" s="124"/>
      <c r="I130" s="124"/>
      <c r="J130" s="123"/>
      <c r="K130" s="125"/>
      <c r="L130" s="125"/>
      <c r="M130" s="123"/>
      <c r="N130" s="126" t="str">
        <f aca="true">IF(OR(J130="",L130="Cerrado",L130="Cancelado"),"",MAX(0,TODAY()-J130))</f>
        <v/>
      </c>
      <c r="O130" s="124"/>
    </row>
    <row r="131" customFormat="false" ht="15" hidden="false" customHeight="false" outlineLevel="0" collapsed="false">
      <c r="A131" s="122" t="n">
        <v>122</v>
      </c>
      <c r="B131" s="123"/>
      <c r="C131" s="124"/>
      <c r="D131" s="125"/>
      <c r="E131" s="124"/>
      <c r="F131" s="124"/>
      <c r="G131" s="124"/>
      <c r="H131" s="124"/>
      <c r="I131" s="124"/>
      <c r="J131" s="123"/>
      <c r="K131" s="125"/>
      <c r="L131" s="125"/>
      <c r="M131" s="123"/>
      <c r="N131" s="126" t="str">
        <f aca="true">IF(OR(J131="",L131="Cerrado",L131="Cancelado"),"",MAX(0,TODAY()-J131))</f>
        <v/>
      </c>
      <c r="O131" s="124"/>
    </row>
    <row r="132" customFormat="false" ht="15" hidden="false" customHeight="false" outlineLevel="0" collapsed="false">
      <c r="A132" s="122" t="n">
        <v>123</v>
      </c>
      <c r="B132" s="123"/>
      <c r="C132" s="124"/>
      <c r="D132" s="125"/>
      <c r="E132" s="124"/>
      <c r="F132" s="124"/>
      <c r="G132" s="124"/>
      <c r="H132" s="124"/>
      <c r="I132" s="124"/>
      <c r="J132" s="123"/>
      <c r="K132" s="125"/>
      <c r="L132" s="125"/>
      <c r="M132" s="123"/>
      <c r="N132" s="126" t="str">
        <f aca="true">IF(OR(J132="",L132="Cerrado",L132="Cancelado"),"",MAX(0,TODAY()-J132))</f>
        <v/>
      </c>
      <c r="O132" s="124"/>
    </row>
    <row r="133" customFormat="false" ht="15" hidden="false" customHeight="false" outlineLevel="0" collapsed="false">
      <c r="A133" s="122" t="n">
        <v>124</v>
      </c>
      <c r="B133" s="123"/>
      <c r="C133" s="124"/>
      <c r="D133" s="125"/>
      <c r="E133" s="124"/>
      <c r="F133" s="124"/>
      <c r="G133" s="124"/>
      <c r="H133" s="124"/>
      <c r="I133" s="124"/>
      <c r="J133" s="123"/>
      <c r="K133" s="125"/>
      <c r="L133" s="125"/>
      <c r="M133" s="123"/>
      <c r="N133" s="126" t="str">
        <f aca="true">IF(OR(J133="",L133="Cerrado",L133="Cancelado"),"",MAX(0,TODAY()-J133))</f>
        <v/>
      </c>
      <c r="O133" s="124"/>
    </row>
    <row r="134" customFormat="false" ht="15" hidden="false" customHeight="false" outlineLevel="0" collapsed="false">
      <c r="A134" s="122" t="n">
        <v>125</v>
      </c>
      <c r="B134" s="123"/>
      <c r="C134" s="124"/>
      <c r="D134" s="125"/>
      <c r="E134" s="124"/>
      <c r="F134" s="124"/>
      <c r="G134" s="124"/>
      <c r="H134" s="124"/>
      <c r="I134" s="124"/>
      <c r="J134" s="123"/>
      <c r="K134" s="125"/>
      <c r="L134" s="125"/>
      <c r="M134" s="123"/>
      <c r="N134" s="126" t="str">
        <f aca="true">IF(OR(J134="",L134="Cerrado",L134="Cancelado"),"",MAX(0,TODAY()-J134))</f>
        <v/>
      </c>
      <c r="O134" s="124"/>
    </row>
    <row r="135" customFormat="false" ht="15" hidden="false" customHeight="false" outlineLevel="0" collapsed="false">
      <c r="A135" s="122" t="n">
        <v>126</v>
      </c>
      <c r="B135" s="123"/>
      <c r="C135" s="124"/>
      <c r="D135" s="125"/>
      <c r="E135" s="124"/>
      <c r="F135" s="124"/>
      <c r="G135" s="124"/>
      <c r="H135" s="124"/>
      <c r="I135" s="124"/>
      <c r="J135" s="123"/>
      <c r="K135" s="125"/>
      <c r="L135" s="125"/>
      <c r="M135" s="123"/>
      <c r="N135" s="126" t="str">
        <f aca="true">IF(OR(J135="",L135="Cerrado",L135="Cancelado"),"",MAX(0,TODAY()-J135))</f>
        <v/>
      </c>
      <c r="O135" s="124"/>
    </row>
    <row r="136" customFormat="false" ht="15" hidden="false" customHeight="false" outlineLevel="0" collapsed="false">
      <c r="A136" s="122" t="n">
        <v>127</v>
      </c>
      <c r="B136" s="123"/>
      <c r="C136" s="124"/>
      <c r="D136" s="125"/>
      <c r="E136" s="124"/>
      <c r="F136" s="124"/>
      <c r="G136" s="124"/>
      <c r="H136" s="124"/>
      <c r="I136" s="124"/>
      <c r="J136" s="123"/>
      <c r="K136" s="125"/>
      <c r="L136" s="125"/>
      <c r="M136" s="123"/>
      <c r="N136" s="126" t="str">
        <f aca="true">IF(OR(J136="",L136="Cerrado",L136="Cancelado"),"",MAX(0,TODAY()-J136))</f>
        <v/>
      </c>
      <c r="O136" s="124"/>
    </row>
    <row r="137" customFormat="false" ht="15" hidden="false" customHeight="false" outlineLevel="0" collapsed="false">
      <c r="A137" s="122" t="n">
        <v>128</v>
      </c>
      <c r="B137" s="123"/>
      <c r="C137" s="124"/>
      <c r="D137" s="125"/>
      <c r="E137" s="124"/>
      <c r="F137" s="124"/>
      <c r="G137" s="124"/>
      <c r="H137" s="124"/>
      <c r="I137" s="124"/>
      <c r="J137" s="123"/>
      <c r="K137" s="125"/>
      <c r="L137" s="125"/>
      <c r="M137" s="123"/>
      <c r="N137" s="126" t="str">
        <f aca="true">IF(OR(J137="",L137="Cerrado",L137="Cancelado"),"",MAX(0,TODAY()-J137))</f>
        <v/>
      </c>
      <c r="O137" s="124"/>
    </row>
    <row r="138" customFormat="false" ht="15" hidden="false" customHeight="false" outlineLevel="0" collapsed="false">
      <c r="A138" s="122" t="n">
        <v>129</v>
      </c>
      <c r="B138" s="123"/>
      <c r="C138" s="124"/>
      <c r="D138" s="125"/>
      <c r="E138" s="124"/>
      <c r="F138" s="124"/>
      <c r="G138" s="124"/>
      <c r="H138" s="124"/>
      <c r="I138" s="124"/>
      <c r="J138" s="123"/>
      <c r="K138" s="125"/>
      <c r="L138" s="125"/>
      <c r="M138" s="123"/>
      <c r="N138" s="126" t="str">
        <f aca="true">IF(OR(J138="",L138="Cerrado",L138="Cancelado"),"",MAX(0,TODAY()-J138))</f>
        <v/>
      </c>
      <c r="O138" s="124"/>
    </row>
    <row r="139" customFormat="false" ht="15" hidden="false" customHeight="false" outlineLevel="0" collapsed="false">
      <c r="A139" s="122" t="n">
        <v>130</v>
      </c>
      <c r="B139" s="123"/>
      <c r="C139" s="124"/>
      <c r="D139" s="125"/>
      <c r="E139" s="124"/>
      <c r="F139" s="124"/>
      <c r="G139" s="124"/>
      <c r="H139" s="124"/>
      <c r="I139" s="124"/>
      <c r="J139" s="123"/>
      <c r="K139" s="125"/>
      <c r="L139" s="125"/>
      <c r="M139" s="123"/>
      <c r="N139" s="126" t="str">
        <f aca="true">IF(OR(J139="",L139="Cerrado",L139="Cancelado"),"",MAX(0,TODAY()-J139))</f>
        <v/>
      </c>
      <c r="O139" s="124"/>
    </row>
    <row r="140" customFormat="false" ht="15" hidden="false" customHeight="false" outlineLevel="0" collapsed="false">
      <c r="A140" s="122" t="n">
        <v>131</v>
      </c>
      <c r="B140" s="123"/>
      <c r="C140" s="124"/>
      <c r="D140" s="125"/>
      <c r="E140" s="124"/>
      <c r="F140" s="124"/>
      <c r="G140" s="124"/>
      <c r="H140" s="124"/>
      <c r="I140" s="124"/>
      <c r="J140" s="123"/>
      <c r="K140" s="125"/>
      <c r="L140" s="125"/>
      <c r="M140" s="123"/>
      <c r="N140" s="126" t="str">
        <f aca="true">IF(OR(J140="",L140="Cerrado",L140="Cancelado"),"",MAX(0,TODAY()-J140))</f>
        <v/>
      </c>
      <c r="O140" s="124"/>
    </row>
    <row r="141" customFormat="false" ht="15" hidden="false" customHeight="false" outlineLevel="0" collapsed="false">
      <c r="A141" s="122" t="n">
        <v>132</v>
      </c>
      <c r="B141" s="123"/>
      <c r="C141" s="124"/>
      <c r="D141" s="125"/>
      <c r="E141" s="124"/>
      <c r="F141" s="124"/>
      <c r="G141" s="124"/>
      <c r="H141" s="124"/>
      <c r="I141" s="124"/>
      <c r="J141" s="123"/>
      <c r="K141" s="125"/>
      <c r="L141" s="125"/>
      <c r="M141" s="123"/>
      <c r="N141" s="126" t="str">
        <f aca="true">IF(OR(J141="",L141="Cerrado",L141="Cancelado"),"",MAX(0,TODAY()-J141))</f>
        <v/>
      </c>
      <c r="O141" s="124"/>
    </row>
    <row r="142" customFormat="false" ht="15" hidden="false" customHeight="false" outlineLevel="0" collapsed="false">
      <c r="A142" s="122" t="n">
        <v>133</v>
      </c>
      <c r="B142" s="123"/>
      <c r="C142" s="124"/>
      <c r="D142" s="125"/>
      <c r="E142" s="124"/>
      <c r="F142" s="124"/>
      <c r="G142" s="124"/>
      <c r="H142" s="124"/>
      <c r="I142" s="124"/>
      <c r="J142" s="123"/>
      <c r="K142" s="125"/>
      <c r="L142" s="125"/>
      <c r="M142" s="123"/>
      <c r="N142" s="126" t="str">
        <f aca="true">IF(OR(J142="",L142="Cerrado",L142="Cancelado"),"",MAX(0,TODAY()-J142))</f>
        <v/>
      </c>
      <c r="O142" s="124"/>
    </row>
    <row r="143" customFormat="false" ht="15" hidden="false" customHeight="false" outlineLevel="0" collapsed="false">
      <c r="A143" s="122" t="n">
        <v>134</v>
      </c>
      <c r="B143" s="123"/>
      <c r="C143" s="124"/>
      <c r="D143" s="125"/>
      <c r="E143" s="124"/>
      <c r="F143" s="124"/>
      <c r="G143" s="124"/>
      <c r="H143" s="124"/>
      <c r="I143" s="124"/>
      <c r="J143" s="123"/>
      <c r="K143" s="125"/>
      <c r="L143" s="125"/>
      <c r="M143" s="123"/>
      <c r="N143" s="126" t="str">
        <f aca="true">IF(OR(J143="",L143="Cerrado",L143="Cancelado"),"",MAX(0,TODAY()-J143))</f>
        <v/>
      </c>
      <c r="O143" s="124"/>
    </row>
    <row r="144" customFormat="false" ht="15" hidden="false" customHeight="false" outlineLevel="0" collapsed="false">
      <c r="A144" s="122" t="n">
        <v>135</v>
      </c>
      <c r="B144" s="123"/>
      <c r="C144" s="124"/>
      <c r="D144" s="125"/>
      <c r="E144" s="124"/>
      <c r="F144" s="124"/>
      <c r="G144" s="124"/>
      <c r="H144" s="124"/>
      <c r="I144" s="124"/>
      <c r="J144" s="123"/>
      <c r="K144" s="125"/>
      <c r="L144" s="125"/>
      <c r="M144" s="123"/>
      <c r="N144" s="126" t="str">
        <f aca="true">IF(OR(J144="",L144="Cerrado",L144="Cancelado"),"",MAX(0,TODAY()-J144))</f>
        <v/>
      </c>
      <c r="O144" s="124"/>
    </row>
    <row r="145" customFormat="false" ht="15" hidden="false" customHeight="false" outlineLevel="0" collapsed="false">
      <c r="A145" s="122" t="n">
        <v>136</v>
      </c>
      <c r="B145" s="123"/>
      <c r="C145" s="124"/>
      <c r="D145" s="125"/>
      <c r="E145" s="124"/>
      <c r="F145" s="124"/>
      <c r="G145" s="124"/>
      <c r="H145" s="124"/>
      <c r="I145" s="124"/>
      <c r="J145" s="123"/>
      <c r="K145" s="125"/>
      <c r="L145" s="125"/>
      <c r="M145" s="123"/>
      <c r="N145" s="126" t="str">
        <f aca="true">IF(OR(J145="",L145="Cerrado",L145="Cancelado"),"",MAX(0,TODAY()-J145))</f>
        <v/>
      </c>
      <c r="O145" s="124"/>
    </row>
    <row r="146" customFormat="false" ht="15" hidden="false" customHeight="false" outlineLevel="0" collapsed="false">
      <c r="A146" s="122" t="n">
        <v>137</v>
      </c>
      <c r="B146" s="123"/>
      <c r="C146" s="124"/>
      <c r="D146" s="125"/>
      <c r="E146" s="124"/>
      <c r="F146" s="124"/>
      <c r="G146" s="124"/>
      <c r="H146" s="124"/>
      <c r="I146" s="124"/>
      <c r="J146" s="123"/>
      <c r="K146" s="125"/>
      <c r="L146" s="125"/>
      <c r="M146" s="123"/>
      <c r="N146" s="126" t="str">
        <f aca="true">IF(OR(J146="",L146="Cerrado",L146="Cancelado"),"",MAX(0,TODAY()-J146))</f>
        <v/>
      </c>
      <c r="O146" s="124"/>
    </row>
    <row r="147" customFormat="false" ht="15" hidden="false" customHeight="false" outlineLevel="0" collapsed="false">
      <c r="A147" s="122" t="n">
        <v>138</v>
      </c>
      <c r="B147" s="123"/>
      <c r="C147" s="124"/>
      <c r="D147" s="125"/>
      <c r="E147" s="124"/>
      <c r="F147" s="124"/>
      <c r="G147" s="124"/>
      <c r="H147" s="124"/>
      <c r="I147" s="124"/>
      <c r="J147" s="123"/>
      <c r="K147" s="125"/>
      <c r="L147" s="125"/>
      <c r="M147" s="123"/>
      <c r="N147" s="126" t="str">
        <f aca="true">IF(OR(J147="",L147="Cerrado",L147="Cancelado"),"",MAX(0,TODAY()-J147))</f>
        <v/>
      </c>
      <c r="O147" s="124"/>
    </row>
    <row r="148" customFormat="false" ht="15" hidden="false" customHeight="false" outlineLevel="0" collapsed="false">
      <c r="A148" s="122" t="n">
        <v>139</v>
      </c>
      <c r="B148" s="123"/>
      <c r="C148" s="124"/>
      <c r="D148" s="125"/>
      <c r="E148" s="124"/>
      <c r="F148" s="124"/>
      <c r="G148" s="124"/>
      <c r="H148" s="124"/>
      <c r="I148" s="124"/>
      <c r="J148" s="123"/>
      <c r="K148" s="125"/>
      <c r="L148" s="125"/>
      <c r="M148" s="123"/>
      <c r="N148" s="126" t="str">
        <f aca="true">IF(OR(J148="",L148="Cerrado",L148="Cancelado"),"",MAX(0,TODAY()-J148))</f>
        <v/>
      </c>
      <c r="O148" s="124"/>
    </row>
    <row r="149" customFormat="false" ht="15" hidden="false" customHeight="false" outlineLevel="0" collapsed="false">
      <c r="A149" s="122" t="n">
        <v>140</v>
      </c>
      <c r="B149" s="123"/>
      <c r="C149" s="124"/>
      <c r="D149" s="125"/>
      <c r="E149" s="124"/>
      <c r="F149" s="124"/>
      <c r="G149" s="124"/>
      <c r="H149" s="124"/>
      <c r="I149" s="124"/>
      <c r="J149" s="123"/>
      <c r="K149" s="125"/>
      <c r="L149" s="125"/>
      <c r="M149" s="123"/>
      <c r="N149" s="126" t="str">
        <f aca="true">IF(OR(J149="",L149="Cerrado",L149="Cancelado"),"",MAX(0,TODAY()-J149))</f>
        <v/>
      </c>
      <c r="O149" s="124"/>
    </row>
    <row r="150" customFormat="false" ht="15" hidden="false" customHeight="false" outlineLevel="0" collapsed="false">
      <c r="A150" s="122" t="n">
        <v>141</v>
      </c>
      <c r="B150" s="123"/>
      <c r="C150" s="124"/>
      <c r="D150" s="125"/>
      <c r="E150" s="124"/>
      <c r="F150" s="124"/>
      <c r="G150" s="124"/>
      <c r="H150" s="124"/>
      <c r="I150" s="124"/>
      <c r="J150" s="123"/>
      <c r="K150" s="125"/>
      <c r="L150" s="125"/>
      <c r="M150" s="123"/>
      <c r="N150" s="126" t="str">
        <f aca="true">IF(OR(J150="",L150="Cerrado",L150="Cancelado"),"",MAX(0,TODAY()-J150))</f>
        <v/>
      </c>
      <c r="O150" s="124"/>
    </row>
    <row r="151" customFormat="false" ht="15" hidden="false" customHeight="false" outlineLevel="0" collapsed="false">
      <c r="A151" s="122" t="n">
        <v>142</v>
      </c>
      <c r="B151" s="123"/>
      <c r="C151" s="124"/>
      <c r="D151" s="125"/>
      <c r="E151" s="124"/>
      <c r="F151" s="124"/>
      <c r="G151" s="124"/>
      <c r="H151" s="124"/>
      <c r="I151" s="124"/>
      <c r="J151" s="123"/>
      <c r="K151" s="125"/>
      <c r="L151" s="125"/>
      <c r="M151" s="123"/>
      <c r="N151" s="126" t="str">
        <f aca="true">IF(OR(J151="",L151="Cerrado",L151="Cancelado"),"",MAX(0,TODAY()-J151))</f>
        <v/>
      </c>
      <c r="O151" s="124"/>
    </row>
    <row r="152" customFormat="false" ht="15" hidden="false" customHeight="false" outlineLevel="0" collapsed="false">
      <c r="A152" s="122" t="n">
        <v>143</v>
      </c>
      <c r="B152" s="123"/>
      <c r="C152" s="124"/>
      <c r="D152" s="125"/>
      <c r="E152" s="124"/>
      <c r="F152" s="124"/>
      <c r="G152" s="124"/>
      <c r="H152" s="124"/>
      <c r="I152" s="124"/>
      <c r="J152" s="123"/>
      <c r="K152" s="125"/>
      <c r="L152" s="125"/>
      <c r="M152" s="123"/>
      <c r="N152" s="126" t="str">
        <f aca="true">IF(OR(J152="",L152="Cerrado",L152="Cancelado"),"",MAX(0,TODAY()-J152))</f>
        <v/>
      </c>
      <c r="O152" s="124"/>
    </row>
    <row r="153" customFormat="false" ht="15" hidden="false" customHeight="false" outlineLevel="0" collapsed="false">
      <c r="A153" s="122" t="n">
        <v>144</v>
      </c>
      <c r="B153" s="123"/>
      <c r="C153" s="124"/>
      <c r="D153" s="125"/>
      <c r="E153" s="124"/>
      <c r="F153" s="124"/>
      <c r="G153" s="124"/>
      <c r="H153" s="124"/>
      <c r="I153" s="124"/>
      <c r="J153" s="123"/>
      <c r="K153" s="125"/>
      <c r="L153" s="125"/>
      <c r="M153" s="123"/>
      <c r="N153" s="126" t="str">
        <f aca="true">IF(OR(J153="",L153="Cerrado",L153="Cancelado"),"",MAX(0,TODAY()-J153))</f>
        <v/>
      </c>
      <c r="O153" s="124"/>
    </row>
    <row r="154" customFormat="false" ht="15" hidden="false" customHeight="false" outlineLevel="0" collapsed="false">
      <c r="A154" s="122" t="n">
        <v>145</v>
      </c>
      <c r="B154" s="123"/>
      <c r="C154" s="124"/>
      <c r="D154" s="125"/>
      <c r="E154" s="124"/>
      <c r="F154" s="124"/>
      <c r="G154" s="124"/>
      <c r="H154" s="124"/>
      <c r="I154" s="124"/>
      <c r="J154" s="123"/>
      <c r="K154" s="125"/>
      <c r="L154" s="125"/>
      <c r="M154" s="123"/>
      <c r="N154" s="126" t="str">
        <f aca="true">IF(OR(J154="",L154="Cerrado",L154="Cancelado"),"",MAX(0,TODAY()-J154))</f>
        <v/>
      </c>
      <c r="O154" s="124"/>
    </row>
    <row r="155" customFormat="false" ht="15" hidden="false" customHeight="false" outlineLevel="0" collapsed="false">
      <c r="A155" s="122" t="n">
        <v>146</v>
      </c>
      <c r="B155" s="123"/>
      <c r="C155" s="124"/>
      <c r="D155" s="125"/>
      <c r="E155" s="124"/>
      <c r="F155" s="124"/>
      <c r="G155" s="124"/>
      <c r="H155" s="124"/>
      <c r="I155" s="124"/>
      <c r="J155" s="123"/>
      <c r="K155" s="125"/>
      <c r="L155" s="125"/>
      <c r="M155" s="123"/>
      <c r="N155" s="126" t="str">
        <f aca="true">IF(OR(J155="",L155="Cerrado",L155="Cancelado"),"",MAX(0,TODAY()-J155))</f>
        <v/>
      </c>
      <c r="O155" s="124"/>
    </row>
    <row r="156" customFormat="false" ht="15" hidden="false" customHeight="false" outlineLevel="0" collapsed="false">
      <c r="A156" s="122" t="n">
        <v>147</v>
      </c>
      <c r="B156" s="123"/>
      <c r="C156" s="124"/>
      <c r="D156" s="125"/>
      <c r="E156" s="124"/>
      <c r="F156" s="124"/>
      <c r="G156" s="124"/>
      <c r="H156" s="124"/>
      <c r="I156" s="124"/>
      <c r="J156" s="123"/>
      <c r="K156" s="125"/>
      <c r="L156" s="125"/>
      <c r="M156" s="123"/>
      <c r="N156" s="126" t="str">
        <f aca="true">IF(OR(J156="",L156="Cerrado",L156="Cancelado"),"",MAX(0,TODAY()-J156))</f>
        <v/>
      </c>
      <c r="O156" s="124"/>
    </row>
    <row r="157" customFormat="false" ht="15" hidden="false" customHeight="false" outlineLevel="0" collapsed="false">
      <c r="A157" s="122" t="n">
        <v>148</v>
      </c>
      <c r="B157" s="123"/>
      <c r="C157" s="124"/>
      <c r="D157" s="125"/>
      <c r="E157" s="124"/>
      <c r="F157" s="124"/>
      <c r="G157" s="124"/>
      <c r="H157" s="124"/>
      <c r="I157" s="124"/>
      <c r="J157" s="123"/>
      <c r="K157" s="125"/>
      <c r="L157" s="125"/>
      <c r="M157" s="123"/>
      <c r="N157" s="126" t="str">
        <f aca="true">IF(OR(J157="",L157="Cerrado",L157="Cancelado"),"",MAX(0,TODAY()-J157))</f>
        <v/>
      </c>
      <c r="O157" s="124"/>
    </row>
    <row r="158" customFormat="false" ht="15" hidden="false" customHeight="false" outlineLevel="0" collapsed="false">
      <c r="A158" s="122" t="n">
        <v>149</v>
      </c>
      <c r="B158" s="123"/>
      <c r="C158" s="124"/>
      <c r="D158" s="125"/>
      <c r="E158" s="124"/>
      <c r="F158" s="124"/>
      <c r="G158" s="124"/>
      <c r="H158" s="124"/>
      <c r="I158" s="124"/>
      <c r="J158" s="123"/>
      <c r="K158" s="125"/>
      <c r="L158" s="125"/>
      <c r="M158" s="123"/>
      <c r="N158" s="126" t="str">
        <f aca="true">IF(OR(J158="",L158="Cerrado",L158="Cancelado"),"",MAX(0,TODAY()-J158))</f>
        <v/>
      </c>
      <c r="O158" s="124"/>
    </row>
    <row r="159" customFormat="false" ht="15" hidden="false" customHeight="false" outlineLevel="0" collapsed="false">
      <c r="A159" s="122" t="n">
        <v>150</v>
      </c>
      <c r="B159" s="123"/>
      <c r="C159" s="124"/>
      <c r="D159" s="125"/>
      <c r="E159" s="124"/>
      <c r="F159" s="124"/>
      <c r="G159" s="124"/>
      <c r="H159" s="124"/>
      <c r="I159" s="124"/>
      <c r="J159" s="123"/>
      <c r="K159" s="125"/>
      <c r="L159" s="125"/>
      <c r="M159" s="123"/>
      <c r="N159" s="126" t="str">
        <f aca="true">IF(OR(J159="",L159="Cerrado",L159="Cancelado"),"",MAX(0,TODAY()-J159))</f>
        <v/>
      </c>
      <c r="O159" s="124"/>
    </row>
    <row r="160" customFormat="false" ht="15" hidden="false" customHeight="false" outlineLevel="0" collapsed="false">
      <c r="A160" s="122" t="n">
        <v>151</v>
      </c>
      <c r="B160" s="123"/>
      <c r="C160" s="124"/>
      <c r="D160" s="125"/>
      <c r="E160" s="124"/>
      <c r="F160" s="124"/>
      <c r="G160" s="124"/>
      <c r="H160" s="124"/>
      <c r="I160" s="124"/>
      <c r="J160" s="123"/>
      <c r="K160" s="125"/>
      <c r="L160" s="125"/>
      <c r="M160" s="123"/>
      <c r="N160" s="126" t="str">
        <f aca="true">IF(OR(J160="",L160="Cerrado",L160="Cancelado"),"",MAX(0,TODAY()-J160))</f>
        <v/>
      </c>
      <c r="O160" s="124"/>
    </row>
    <row r="161" customFormat="false" ht="15" hidden="false" customHeight="false" outlineLevel="0" collapsed="false">
      <c r="A161" s="122" t="n">
        <v>152</v>
      </c>
      <c r="B161" s="123"/>
      <c r="C161" s="124"/>
      <c r="D161" s="125"/>
      <c r="E161" s="124"/>
      <c r="F161" s="124"/>
      <c r="G161" s="124"/>
      <c r="H161" s="124"/>
      <c r="I161" s="124"/>
      <c r="J161" s="123"/>
      <c r="K161" s="125"/>
      <c r="L161" s="125"/>
      <c r="M161" s="123"/>
      <c r="N161" s="126" t="str">
        <f aca="true">IF(OR(J161="",L161="Cerrado",L161="Cancelado"),"",MAX(0,TODAY()-J161))</f>
        <v/>
      </c>
      <c r="O161" s="124"/>
    </row>
    <row r="162" customFormat="false" ht="15" hidden="false" customHeight="false" outlineLevel="0" collapsed="false">
      <c r="A162" s="122" t="n">
        <v>153</v>
      </c>
      <c r="B162" s="123"/>
      <c r="C162" s="124"/>
      <c r="D162" s="125"/>
      <c r="E162" s="124"/>
      <c r="F162" s="124"/>
      <c r="G162" s="124"/>
      <c r="H162" s="124"/>
      <c r="I162" s="124"/>
      <c r="J162" s="123"/>
      <c r="K162" s="125"/>
      <c r="L162" s="125"/>
      <c r="M162" s="123"/>
      <c r="N162" s="126" t="str">
        <f aca="true">IF(OR(J162="",L162="Cerrado",L162="Cancelado"),"",MAX(0,TODAY()-J162))</f>
        <v/>
      </c>
      <c r="O162" s="124"/>
    </row>
    <row r="163" customFormat="false" ht="15" hidden="false" customHeight="false" outlineLevel="0" collapsed="false">
      <c r="A163" s="122" t="n">
        <v>154</v>
      </c>
      <c r="B163" s="123"/>
      <c r="C163" s="124"/>
      <c r="D163" s="125"/>
      <c r="E163" s="124"/>
      <c r="F163" s="124"/>
      <c r="G163" s="124"/>
      <c r="H163" s="124"/>
      <c r="I163" s="124"/>
      <c r="J163" s="123"/>
      <c r="K163" s="125"/>
      <c r="L163" s="125"/>
      <c r="M163" s="123"/>
      <c r="N163" s="126" t="str">
        <f aca="true">IF(OR(J163="",L163="Cerrado",L163="Cancelado"),"",MAX(0,TODAY()-J163))</f>
        <v/>
      </c>
      <c r="O163" s="124"/>
    </row>
    <row r="164" customFormat="false" ht="15" hidden="false" customHeight="false" outlineLevel="0" collapsed="false">
      <c r="A164" s="122" t="n">
        <v>155</v>
      </c>
      <c r="B164" s="123"/>
      <c r="C164" s="124"/>
      <c r="D164" s="125"/>
      <c r="E164" s="124"/>
      <c r="F164" s="124"/>
      <c r="G164" s="124"/>
      <c r="H164" s="124"/>
      <c r="I164" s="124"/>
      <c r="J164" s="123"/>
      <c r="K164" s="125"/>
      <c r="L164" s="125"/>
      <c r="M164" s="123"/>
      <c r="N164" s="126" t="str">
        <f aca="true">IF(OR(J164="",L164="Cerrado",L164="Cancelado"),"",MAX(0,TODAY()-J164))</f>
        <v/>
      </c>
      <c r="O164" s="124"/>
    </row>
    <row r="165" customFormat="false" ht="15" hidden="false" customHeight="false" outlineLevel="0" collapsed="false">
      <c r="A165" s="122" t="n">
        <v>156</v>
      </c>
      <c r="B165" s="123"/>
      <c r="C165" s="124"/>
      <c r="D165" s="125"/>
      <c r="E165" s="124"/>
      <c r="F165" s="124"/>
      <c r="G165" s="124"/>
      <c r="H165" s="124"/>
      <c r="I165" s="124"/>
      <c r="J165" s="123"/>
      <c r="K165" s="125"/>
      <c r="L165" s="125"/>
      <c r="M165" s="123"/>
      <c r="N165" s="126" t="str">
        <f aca="true">IF(OR(J165="",L165="Cerrado",L165="Cancelado"),"",MAX(0,TODAY()-J165))</f>
        <v/>
      </c>
      <c r="O165" s="124"/>
    </row>
    <row r="166" customFormat="false" ht="15" hidden="false" customHeight="false" outlineLevel="0" collapsed="false">
      <c r="A166" s="122" t="n">
        <v>157</v>
      </c>
      <c r="B166" s="123"/>
      <c r="C166" s="124"/>
      <c r="D166" s="125"/>
      <c r="E166" s="124"/>
      <c r="F166" s="124"/>
      <c r="G166" s="124"/>
      <c r="H166" s="124"/>
      <c r="I166" s="124"/>
      <c r="J166" s="123"/>
      <c r="K166" s="125"/>
      <c r="L166" s="125"/>
      <c r="M166" s="123"/>
      <c r="N166" s="126" t="str">
        <f aca="true">IF(OR(J166="",L166="Cerrado",L166="Cancelado"),"",MAX(0,TODAY()-J166))</f>
        <v/>
      </c>
      <c r="O166" s="124"/>
    </row>
    <row r="167" customFormat="false" ht="15" hidden="false" customHeight="false" outlineLevel="0" collapsed="false">
      <c r="A167" s="122" t="n">
        <v>158</v>
      </c>
      <c r="B167" s="123"/>
      <c r="C167" s="124"/>
      <c r="D167" s="125"/>
      <c r="E167" s="124"/>
      <c r="F167" s="124"/>
      <c r="G167" s="124"/>
      <c r="H167" s="124"/>
      <c r="I167" s="124"/>
      <c r="J167" s="123"/>
      <c r="K167" s="125"/>
      <c r="L167" s="125"/>
      <c r="M167" s="123"/>
      <c r="N167" s="126" t="str">
        <f aca="true">IF(OR(J167="",L167="Cerrado",L167="Cancelado"),"",MAX(0,TODAY()-J167))</f>
        <v/>
      </c>
      <c r="O167" s="124"/>
    </row>
    <row r="168" customFormat="false" ht="15" hidden="false" customHeight="false" outlineLevel="0" collapsed="false">
      <c r="A168" s="122" t="n">
        <v>159</v>
      </c>
      <c r="B168" s="123"/>
      <c r="C168" s="124"/>
      <c r="D168" s="125"/>
      <c r="E168" s="124"/>
      <c r="F168" s="124"/>
      <c r="G168" s="124"/>
      <c r="H168" s="124"/>
      <c r="I168" s="124"/>
      <c r="J168" s="123"/>
      <c r="K168" s="125"/>
      <c r="L168" s="125"/>
      <c r="M168" s="123"/>
      <c r="N168" s="126" t="str">
        <f aca="true">IF(OR(J168="",L168="Cerrado",L168="Cancelado"),"",MAX(0,TODAY()-J168))</f>
        <v/>
      </c>
      <c r="O168" s="124"/>
    </row>
    <row r="169" customFormat="false" ht="15" hidden="false" customHeight="false" outlineLevel="0" collapsed="false">
      <c r="A169" s="122" t="n">
        <v>160</v>
      </c>
      <c r="B169" s="123"/>
      <c r="C169" s="124"/>
      <c r="D169" s="125"/>
      <c r="E169" s="124"/>
      <c r="F169" s="124"/>
      <c r="G169" s="124"/>
      <c r="H169" s="124"/>
      <c r="I169" s="124"/>
      <c r="J169" s="123"/>
      <c r="K169" s="125"/>
      <c r="L169" s="125"/>
      <c r="M169" s="123"/>
      <c r="N169" s="126" t="str">
        <f aca="true">IF(OR(J169="",L169="Cerrado",L169="Cancelado"),"",MAX(0,TODAY()-J169))</f>
        <v/>
      </c>
      <c r="O169" s="124"/>
    </row>
    <row r="170" customFormat="false" ht="15" hidden="false" customHeight="false" outlineLevel="0" collapsed="false">
      <c r="A170" s="122" t="n">
        <v>161</v>
      </c>
      <c r="B170" s="123"/>
      <c r="C170" s="124"/>
      <c r="D170" s="125"/>
      <c r="E170" s="124"/>
      <c r="F170" s="124"/>
      <c r="G170" s="124"/>
      <c r="H170" s="124"/>
      <c r="I170" s="124"/>
      <c r="J170" s="123"/>
      <c r="K170" s="125"/>
      <c r="L170" s="125"/>
      <c r="M170" s="123"/>
      <c r="N170" s="126" t="str">
        <f aca="true">IF(OR(J170="",L170="Cerrado",L170="Cancelado"),"",MAX(0,TODAY()-J170))</f>
        <v/>
      </c>
      <c r="O170" s="124"/>
    </row>
    <row r="171" customFormat="false" ht="15" hidden="false" customHeight="false" outlineLevel="0" collapsed="false">
      <c r="A171" s="122" t="n">
        <v>162</v>
      </c>
      <c r="B171" s="123"/>
      <c r="C171" s="124"/>
      <c r="D171" s="125"/>
      <c r="E171" s="124"/>
      <c r="F171" s="124"/>
      <c r="G171" s="124"/>
      <c r="H171" s="124"/>
      <c r="I171" s="124"/>
      <c r="J171" s="123"/>
      <c r="K171" s="125"/>
      <c r="L171" s="125"/>
      <c r="M171" s="123"/>
      <c r="N171" s="126" t="str">
        <f aca="true">IF(OR(J171="",L171="Cerrado",L171="Cancelado"),"",MAX(0,TODAY()-J171))</f>
        <v/>
      </c>
      <c r="O171" s="124"/>
    </row>
    <row r="172" customFormat="false" ht="15" hidden="false" customHeight="false" outlineLevel="0" collapsed="false">
      <c r="A172" s="122" t="n">
        <v>163</v>
      </c>
      <c r="B172" s="123"/>
      <c r="C172" s="124"/>
      <c r="D172" s="125"/>
      <c r="E172" s="124"/>
      <c r="F172" s="124"/>
      <c r="G172" s="124"/>
      <c r="H172" s="124"/>
      <c r="I172" s="124"/>
      <c r="J172" s="123"/>
      <c r="K172" s="125"/>
      <c r="L172" s="125"/>
      <c r="M172" s="123"/>
      <c r="N172" s="126" t="str">
        <f aca="true">IF(OR(J172="",L172="Cerrado",L172="Cancelado"),"",MAX(0,TODAY()-J172))</f>
        <v/>
      </c>
      <c r="O172" s="124"/>
    </row>
    <row r="173" customFormat="false" ht="15" hidden="false" customHeight="false" outlineLevel="0" collapsed="false">
      <c r="A173" s="122" t="n">
        <v>164</v>
      </c>
      <c r="B173" s="123"/>
      <c r="C173" s="124"/>
      <c r="D173" s="125"/>
      <c r="E173" s="124"/>
      <c r="F173" s="124"/>
      <c r="G173" s="124"/>
      <c r="H173" s="124"/>
      <c r="I173" s="124"/>
      <c r="J173" s="123"/>
      <c r="K173" s="125"/>
      <c r="L173" s="125"/>
      <c r="M173" s="123"/>
      <c r="N173" s="126" t="str">
        <f aca="true">IF(OR(J173="",L173="Cerrado",L173="Cancelado"),"",MAX(0,TODAY()-J173))</f>
        <v/>
      </c>
      <c r="O173" s="124"/>
    </row>
    <row r="174" customFormat="false" ht="15" hidden="false" customHeight="false" outlineLevel="0" collapsed="false">
      <c r="A174" s="122" t="n">
        <v>165</v>
      </c>
      <c r="B174" s="123"/>
      <c r="C174" s="124"/>
      <c r="D174" s="125"/>
      <c r="E174" s="124"/>
      <c r="F174" s="124"/>
      <c r="G174" s="124"/>
      <c r="H174" s="124"/>
      <c r="I174" s="124"/>
      <c r="J174" s="123"/>
      <c r="K174" s="125"/>
      <c r="L174" s="125"/>
      <c r="M174" s="123"/>
      <c r="N174" s="126" t="str">
        <f aca="true">IF(OR(J174="",L174="Cerrado",L174="Cancelado"),"",MAX(0,TODAY()-J174))</f>
        <v/>
      </c>
      <c r="O174" s="124"/>
    </row>
    <row r="175" customFormat="false" ht="15" hidden="false" customHeight="false" outlineLevel="0" collapsed="false">
      <c r="A175" s="122" t="n">
        <v>166</v>
      </c>
      <c r="B175" s="123"/>
      <c r="C175" s="124"/>
      <c r="D175" s="125"/>
      <c r="E175" s="124"/>
      <c r="F175" s="124"/>
      <c r="G175" s="124"/>
      <c r="H175" s="124"/>
      <c r="I175" s="124"/>
      <c r="J175" s="123"/>
      <c r="K175" s="125"/>
      <c r="L175" s="125"/>
      <c r="M175" s="123"/>
      <c r="N175" s="126" t="str">
        <f aca="true">IF(OR(J175="",L175="Cerrado",L175="Cancelado"),"",MAX(0,TODAY()-J175))</f>
        <v/>
      </c>
      <c r="O175" s="124"/>
    </row>
    <row r="176" customFormat="false" ht="15" hidden="false" customHeight="false" outlineLevel="0" collapsed="false">
      <c r="A176" s="122" t="n">
        <v>167</v>
      </c>
      <c r="B176" s="123"/>
      <c r="C176" s="124"/>
      <c r="D176" s="125"/>
      <c r="E176" s="124"/>
      <c r="F176" s="124"/>
      <c r="G176" s="124"/>
      <c r="H176" s="124"/>
      <c r="I176" s="124"/>
      <c r="J176" s="123"/>
      <c r="K176" s="125"/>
      <c r="L176" s="125"/>
      <c r="M176" s="123"/>
      <c r="N176" s="126" t="str">
        <f aca="true">IF(OR(J176="",L176="Cerrado",L176="Cancelado"),"",MAX(0,TODAY()-J176))</f>
        <v/>
      </c>
      <c r="O176" s="124"/>
    </row>
    <row r="177" customFormat="false" ht="15" hidden="false" customHeight="false" outlineLevel="0" collapsed="false">
      <c r="A177" s="122" t="n">
        <v>168</v>
      </c>
      <c r="B177" s="123"/>
      <c r="C177" s="124"/>
      <c r="D177" s="125"/>
      <c r="E177" s="124"/>
      <c r="F177" s="124"/>
      <c r="G177" s="124"/>
      <c r="H177" s="124"/>
      <c r="I177" s="124"/>
      <c r="J177" s="123"/>
      <c r="K177" s="125"/>
      <c r="L177" s="125"/>
      <c r="M177" s="123"/>
      <c r="N177" s="126" t="str">
        <f aca="true">IF(OR(J177="",L177="Cerrado",L177="Cancelado"),"",MAX(0,TODAY()-J177))</f>
        <v/>
      </c>
      <c r="O177" s="124"/>
    </row>
    <row r="178" customFormat="false" ht="15" hidden="false" customHeight="false" outlineLevel="0" collapsed="false">
      <c r="A178" s="122" t="n">
        <v>169</v>
      </c>
      <c r="B178" s="123"/>
      <c r="C178" s="124"/>
      <c r="D178" s="125"/>
      <c r="E178" s="124"/>
      <c r="F178" s="124"/>
      <c r="G178" s="124"/>
      <c r="H178" s="124"/>
      <c r="I178" s="124"/>
      <c r="J178" s="123"/>
      <c r="K178" s="125"/>
      <c r="L178" s="125"/>
      <c r="M178" s="123"/>
      <c r="N178" s="126" t="str">
        <f aca="true">IF(OR(J178="",L178="Cerrado",L178="Cancelado"),"",MAX(0,TODAY()-J178))</f>
        <v/>
      </c>
      <c r="O178" s="124"/>
    </row>
    <row r="179" customFormat="false" ht="15" hidden="false" customHeight="false" outlineLevel="0" collapsed="false">
      <c r="A179" s="122" t="n">
        <v>170</v>
      </c>
      <c r="B179" s="123"/>
      <c r="C179" s="124"/>
      <c r="D179" s="125"/>
      <c r="E179" s="124"/>
      <c r="F179" s="124"/>
      <c r="G179" s="124"/>
      <c r="H179" s="124"/>
      <c r="I179" s="124"/>
      <c r="J179" s="123"/>
      <c r="K179" s="125"/>
      <c r="L179" s="125"/>
      <c r="M179" s="123"/>
      <c r="N179" s="126" t="str">
        <f aca="true">IF(OR(J179="",L179="Cerrado",L179="Cancelado"),"",MAX(0,TODAY()-J179))</f>
        <v/>
      </c>
      <c r="O179" s="124"/>
    </row>
    <row r="180" customFormat="false" ht="15" hidden="false" customHeight="false" outlineLevel="0" collapsed="false">
      <c r="A180" s="122" t="n">
        <v>171</v>
      </c>
      <c r="B180" s="123"/>
      <c r="C180" s="124"/>
      <c r="D180" s="125"/>
      <c r="E180" s="124"/>
      <c r="F180" s="124"/>
      <c r="G180" s="124"/>
      <c r="H180" s="124"/>
      <c r="I180" s="124"/>
      <c r="J180" s="123"/>
      <c r="K180" s="125"/>
      <c r="L180" s="125"/>
      <c r="M180" s="123"/>
      <c r="N180" s="126" t="str">
        <f aca="true">IF(OR(J180="",L180="Cerrado",L180="Cancelado"),"",MAX(0,TODAY()-J180))</f>
        <v/>
      </c>
      <c r="O180" s="124"/>
    </row>
    <row r="181" customFormat="false" ht="15" hidden="false" customHeight="false" outlineLevel="0" collapsed="false">
      <c r="A181" s="122" t="n">
        <v>172</v>
      </c>
      <c r="B181" s="123"/>
      <c r="C181" s="124"/>
      <c r="D181" s="125"/>
      <c r="E181" s="124"/>
      <c r="F181" s="124"/>
      <c r="G181" s="124"/>
      <c r="H181" s="124"/>
      <c r="I181" s="124"/>
      <c r="J181" s="123"/>
      <c r="K181" s="125"/>
      <c r="L181" s="125"/>
      <c r="M181" s="123"/>
      <c r="N181" s="126" t="str">
        <f aca="true">IF(OR(J181="",L181="Cerrado",L181="Cancelado"),"",MAX(0,TODAY()-J181))</f>
        <v/>
      </c>
      <c r="O181" s="124"/>
    </row>
    <row r="182" customFormat="false" ht="15" hidden="false" customHeight="false" outlineLevel="0" collapsed="false">
      <c r="A182" s="122" t="n">
        <v>173</v>
      </c>
      <c r="B182" s="123"/>
      <c r="C182" s="124"/>
      <c r="D182" s="125"/>
      <c r="E182" s="124"/>
      <c r="F182" s="124"/>
      <c r="G182" s="124"/>
      <c r="H182" s="124"/>
      <c r="I182" s="124"/>
      <c r="J182" s="123"/>
      <c r="K182" s="125"/>
      <c r="L182" s="125"/>
      <c r="M182" s="123"/>
      <c r="N182" s="126" t="str">
        <f aca="true">IF(OR(J182="",L182="Cerrado",L182="Cancelado"),"",MAX(0,TODAY()-J182))</f>
        <v/>
      </c>
      <c r="O182" s="124"/>
    </row>
    <row r="183" customFormat="false" ht="15" hidden="false" customHeight="false" outlineLevel="0" collapsed="false">
      <c r="A183" s="122" t="n">
        <v>174</v>
      </c>
      <c r="B183" s="123"/>
      <c r="C183" s="124"/>
      <c r="D183" s="125"/>
      <c r="E183" s="124"/>
      <c r="F183" s="124"/>
      <c r="G183" s="124"/>
      <c r="H183" s="124"/>
      <c r="I183" s="124"/>
      <c r="J183" s="123"/>
      <c r="K183" s="125"/>
      <c r="L183" s="125"/>
      <c r="M183" s="123"/>
      <c r="N183" s="126" t="str">
        <f aca="true">IF(OR(J183="",L183="Cerrado",L183="Cancelado"),"",MAX(0,TODAY()-J183))</f>
        <v/>
      </c>
      <c r="O183" s="124"/>
    </row>
    <row r="184" customFormat="false" ht="15" hidden="false" customHeight="false" outlineLevel="0" collapsed="false">
      <c r="A184" s="122" t="n">
        <v>175</v>
      </c>
      <c r="B184" s="123"/>
      <c r="C184" s="124"/>
      <c r="D184" s="125"/>
      <c r="E184" s="124"/>
      <c r="F184" s="124"/>
      <c r="G184" s="124"/>
      <c r="H184" s="124"/>
      <c r="I184" s="124"/>
      <c r="J184" s="123"/>
      <c r="K184" s="125"/>
      <c r="L184" s="125"/>
      <c r="M184" s="123"/>
      <c r="N184" s="126" t="str">
        <f aca="true">IF(OR(J184="",L184="Cerrado",L184="Cancelado"),"",MAX(0,TODAY()-J184))</f>
        <v/>
      </c>
      <c r="O184" s="124"/>
    </row>
    <row r="185" customFormat="false" ht="15" hidden="false" customHeight="false" outlineLevel="0" collapsed="false">
      <c r="A185" s="122" t="n">
        <v>176</v>
      </c>
      <c r="B185" s="123"/>
      <c r="C185" s="124"/>
      <c r="D185" s="125"/>
      <c r="E185" s="124"/>
      <c r="F185" s="124"/>
      <c r="G185" s="124"/>
      <c r="H185" s="124"/>
      <c r="I185" s="124"/>
      <c r="J185" s="123"/>
      <c r="K185" s="125"/>
      <c r="L185" s="125"/>
      <c r="M185" s="123"/>
      <c r="N185" s="126" t="str">
        <f aca="true">IF(OR(J185="",L185="Cerrado",L185="Cancelado"),"",MAX(0,TODAY()-J185))</f>
        <v/>
      </c>
      <c r="O185" s="124"/>
    </row>
    <row r="186" customFormat="false" ht="15" hidden="false" customHeight="false" outlineLevel="0" collapsed="false">
      <c r="A186" s="122" t="n">
        <v>177</v>
      </c>
      <c r="B186" s="123"/>
      <c r="C186" s="124"/>
      <c r="D186" s="125"/>
      <c r="E186" s="124"/>
      <c r="F186" s="124"/>
      <c r="G186" s="124"/>
      <c r="H186" s="124"/>
      <c r="I186" s="124"/>
      <c r="J186" s="123"/>
      <c r="K186" s="125"/>
      <c r="L186" s="125"/>
      <c r="M186" s="123"/>
      <c r="N186" s="126" t="str">
        <f aca="true">IF(OR(J186="",L186="Cerrado",L186="Cancelado"),"",MAX(0,TODAY()-J186))</f>
        <v/>
      </c>
      <c r="O186" s="124"/>
    </row>
    <row r="187" customFormat="false" ht="15" hidden="false" customHeight="false" outlineLevel="0" collapsed="false">
      <c r="A187" s="122" t="n">
        <v>178</v>
      </c>
      <c r="B187" s="123"/>
      <c r="C187" s="124"/>
      <c r="D187" s="125"/>
      <c r="E187" s="124"/>
      <c r="F187" s="124"/>
      <c r="G187" s="124"/>
      <c r="H187" s="124"/>
      <c r="I187" s="124"/>
      <c r="J187" s="123"/>
      <c r="K187" s="125"/>
      <c r="L187" s="125"/>
      <c r="M187" s="123"/>
      <c r="N187" s="126" t="str">
        <f aca="true">IF(OR(J187="",L187="Cerrado",L187="Cancelado"),"",MAX(0,TODAY()-J187))</f>
        <v/>
      </c>
      <c r="O187" s="124"/>
    </row>
    <row r="188" customFormat="false" ht="15" hidden="false" customHeight="false" outlineLevel="0" collapsed="false">
      <c r="A188" s="122" t="n">
        <v>179</v>
      </c>
      <c r="B188" s="123"/>
      <c r="C188" s="124"/>
      <c r="D188" s="125"/>
      <c r="E188" s="124"/>
      <c r="F188" s="124"/>
      <c r="G188" s="124"/>
      <c r="H188" s="124"/>
      <c r="I188" s="124"/>
      <c r="J188" s="123"/>
      <c r="K188" s="125"/>
      <c r="L188" s="125"/>
      <c r="M188" s="123"/>
      <c r="N188" s="126" t="str">
        <f aca="true">IF(OR(J188="",L188="Cerrado",L188="Cancelado"),"",MAX(0,TODAY()-J188))</f>
        <v/>
      </c>
      <c r="O188" s="124"/>
    </row>
    <row r="189" customFormat="false" ht="15" hidden="false" customHeight="false" outlineLevel="0" collapsed="false">
      <c r="A189" s="122" t="n">
        <v>180</v>
      </c>
      <c r="B189" s="123"/>
      <c r="C189" s="124"/>
      <c r="D189" s="125"/>
      <c r="E189" s="124"/>
      <c r="F189" s="124"/>
      <c r="G189" s="124"/>
      <c r="H189" s="124"/>
      <c r="I189" s="124"/>
      <c r="J189" s="123"/>
      <c r="K189" s="125"/>
      <c r="L189" s="125"/>
      <c r="M189" s="123"/>
      <c r="N189" s="126" t="str">
        <f aca="true">IF(OR(J189="",L189="Cerrado",L189="Cancelado"),"",MAX(0,TODAY()-J189))</f>
        <v/>
      </c>
      <c r="O189" s="124"/>
    </row>
    <row r="190" customFormat="false" ht="15" hidden="false" customHeight="false" outlineLevel="0" collapsed="false">
      <c r="A190" s="122" t="n">
        <v>181</v>
      </c>
      <c r="B190" s="123"/>
      <c r="C190" s="124"/>
      <c r="D190" s="125"/>
      <c r="E190" s="124"/>
      <c r="F190" s="124"/>
      <c r="G190" s="124"/>
      <c r="H190" s="124"/>
      <c r="I190" s="124"/>
      <c r="J190" s="123"/>
      <c r="K190" s="125"/>
      <c r="L190" s="125"/>
      <c r="M190" s="123"/>
      <c r="N190" s="126" t="str">
        <f aca="true">IF(OR(J190="",L190="Cerrado",L190="Cancelado"),"",MAX(0,TODAY()-J190))</f>
        <v/>
      </c>
      <c r="O190" s="124"/>
    </row>
    <row r="191" customFormat="false" ht="15" hidden="false" customHeight="false" outlineLevel="0" collapsed="false">
      <c r="A191" s="122" t="n">
        <v>182</v>
      </c>
      <c r="B191" s="123"/>
      <c r="C191" s="124"/>
      <c r="D191" s="125"/>
      <c r="E191" s="124"/>
      <c r="F191" s="124"/>
      <c r="G191" s="124"/>
      <c r="H191" s="124"/>
      <c r="I191" s="124"/>
      <c r="J191" s="123"/>
      <c r="K191" s="125"/>
      <c r="L191" s="125"/>
      <c r="M191" s="123"/>
      <c r="N191" s="126" t="str">
        <f aca="true">IF(OR(J191="",L191="Cerrado",L191="Cancelado"),"",MAX(0,TODAY()-J191))</f>
        <v/>
      </c>
      <c r="O191" s="124"/>
    </row>
    <row r="192" customFormat="false" ht="15" hidden="false" customHeight="false" outlineLevel="0" collapsed="false">
      <c r="A192" s="122" t="n">
        <v>183</v>
      </c>
      <c r="B192" s="123"/>
      <c r="C192" s="124"/>
      <c r="D192" s="125"/>
      <c r="E192" s="124"/>
      <c r="F192" s="124"/>
      <c r="G192" s="124"/>
      <c r="H192" s="124"/>
      <c r="I192" s="124"/>
      <c r="J192" s="123"/>
      <c r="K192" s="125"/>
      <c r="L192" s="125"/>
      <c r="M192" s="123"/>
      <c r="N192" s="126" t="str">
        <f aca="true">IF(OR(J192="",L192="Cerrado",L192="Cancelado"),"",MAX(0,TODAY()-J192))</f>
        <v/>
      </c>
      <c r="O192" s="124"/>
    </row>
    <row r="193" customFormat="false" ht="15" hidden="false" customHeight="false" outlineLevel="0" collapsed="false">
      <c r="A193" s="122" t="n">
        <v>184</v>
      </c>
      <c r="B193" s="123"/>
      <c r="C193" s="124"/>
      <c r="D193" s="125"/>
      <c r="E193" s="124"/>
      <c r="F193" s="124"/>
      <c r="G193" s="124"/>
      <c r="H193" s="124"/>
      <c r="I193" s="124"/>
      <c r="J193" s="123"/>
      <c r="K193" s="125"/>
      <c r="L193" s="125"/>
      <c r="M193" s="123"/>
      <c r="N193" s="126" t="str">
        <f aca="true">IF(OR(J193="",L193="Cerrado",L193="Cancelado"),"",MAX(0,TODAY()-J193))</f>
        <v/>
      </c>
      <c r="O193" s="124"/>
    </row>
    <row r="194" customFormat="false" ht="15" hidden="false" customHeight="false" outlineLevel="0" collapsed="false">
      <c r="A194" s="122" t="n">
        <v>185</v>
      </c>
      <c r="B194" s="123"/>
      <c r="C194" s="124"/>
      <c r="D194" s="125"/>
      <c r="E194" s="124"/>
      <c r="F194" s="124"/>
      <c r="G194" s="124"/>
      <c r="H194" s="124"/>
      <c r="I194" s="124"/>
      <c r="J194" s="123"/>
      <c r="K194" s="125"/>
      <c r="L194" s="125"/>
      <c r="M194" s="123"/>
      <c r="N194" s="126" t="str">
        <f aca="true">IF(OR(J194="",L194="Cerrado",L194="Cancelado"),"",MAX(0,TODAY()-J194))</f>
        <v/>
      </c>
      <c r="O194" s="124"/>
    </row>
    <row r="195" customFormat="false" ht="15" hidden="false" customHeight="false" outlineLevel="0" collapsed="false">
      <c r="A195" s="122" t="n">
        <v>186</v>
      </c>
      <c r="B195" s="123"/>
      <c r="C195" s="124"/>
      <c r="D195" s="125"/>
      <c r="E195" s="124"/>
      <c r="F195" s="124"/>
      <c r="G195" s="124"/>
      <c r="H195" s="124"/>
      <c r="I195" s="124"/>
      <c r="J195" s="123"/>
      <c r="K195" s="125"/>
      <c r="L195" s="125"/>
      <c r="M195" s="123"/>
      <c r="N195" s="126" t="str">
        <f aca="true">IF(OR(J195="",L195="Cerrado",L195="Cancelado"),"",MAX(0,TODAY()-J195))</f>
        <v/>
      </c>
      <c r="O195" s="124"/>
    </row>
    <row r="196" customFormat="false" ht="15" hidden="false" customHeight="false" outlineLevel="0" collapsed="false">
      <c r="A196" s="122" t="n">
        <v>187</v>
      </c>
      <c r="B196" s="123"/>
      <c r="C196" s="124"/>
      <c r="D196" s="125"/>
      <c r="E196" s="124"/>
      <c r="F196" s="124"/>
      <c r="G196" s="124"/>
      <c r="H196" s="124"/>
      <c r="I196" s="124"/>
      <c r="J196" s="123"/>
      <c r="K196" s="125"/>
      <c r="L196" s="125"/>
      <c r="M196" s="123"/>
      <c r="N196" s="126" t="str">
        <f aca="true">IF(OR(J196="",L196="Cerrado",L196="Cancelado"),"",MAX(0,TODAY()-J196))</f>
        <v/>
      </c>
      <c r="O196" s="124"/>
    </row>
    <row r="197" customFormat="false" ht="15" hidden="false" customHeight="false" outlineLevel="0" collapsed="false">
      <c r="A197" s="122" t="n">
        <v>188</v>
      </c>
      <c r="B197" s="123"/>
      <c r="C197" s="124"/>
      <c r="D197" s="125"/>
      <c r="E197" s="124"/>
      <c r="F197" s="124"/>
      <c r="G197" s="124"/>
      <c r="H197" s="124"/>
      <c r="I197" s="124"/>
      <c r="J197" s="123"/>
      <c r="K197" s="125"/>
      <c r="L197" s="125"/>
      <c r="M197" s="123"/>
      <c r="N197" s="126" t="str">
        <f aca="true">IF(OR(J197="",L197="Cerrado",L197="Cancelado"),"",MAX(0,TODAY()-J197))</f>
        <v/>
      </c>
      <c r="O197" s="124"/>
    </row>
    <row r="198" customFormat="false" ht="15" hidden="false" customHeight="false" outlineLevel="0" collapsed="false">
      <c r="A198" s="122" t="n">
        <v>189</v>
      </c>
      <c r="B198" s="123"/>
      <c r="C198" s="124"/>
      <c r="D198" s="125"/>
      <c r="E198" s="124"/>
      <c r="F198" s="124"/>
      <c r="G198" s="124"/>
      <c r="H198" s="124"/>
      <c r="I198" s="124"/>
      <c r="J198" s="123"/>
      <c r="K198" s="125"/>
      <c r="L198" s="125"/>
      <c r="M198" s="123"/>
      <c r="N198" s="126" t="str">
        <f aca="true">IF(OR(J198="",L198="Cerrado",L198="Cancelado"),"",MAX(0,TODAY()-J198))</f>
        <v/>
      </c>
      <c r="O198" s="124"/>
    </row>
    <row r="199" customFormat="false" ht="15" hidden="false" customHeight="false" outlineLevel="0" collapsed="false">
      <c r="A199" s="122" t="n">
        <v>190</v>
      </c>
      <c r="B199" s="123"/>
      <c r="C199" s="124"/>
      <c r="D199" s="125"/>
      <c r="E199" s="124"/>
      <c r="F199" s="124"/>
      <c r="G199" s="124"/>
      <c r="H199" s="124"/>
      <c r="I199" s="124"/>
      <c r="J199" s="123"/>
      <c r="K199" s="125"/>
      <c r="L199" s="125"/>
      <c r="M199" s="123"/>
      <c r="N199" s="126" t="str">
        <f aca="true">IF(OR(J199="",L199="Cerrado",L199="Cancelado"),"",MAX(0,TODAY()-J199))</f>
        <v/>
      </c>
      <c r="O199" s="124"/>
    </row>
    <row r="200" customFormat="false" ht="15" hidden="false" customHeight="false" outlineLevel="0" collapsed="false">
      <c r="A200" s="122" t="n">
        <v>191</v>
      </c>
      <c r="B200" s="123"/>
      <c r="C200" s="124"/>
      <c r="D200" s="125"/>
      <c r="E200" s="124"/>
      <c r="F200" s="124"/>
      <c r="G200" s="124"/>
      <c r="H200" s="124"/>
      <c r="I200" s="124"/>
      <c r="J200" s="123"/>
      <c r="K200" s="125"/>
      <c r="L200" s="125"/>
      <c r="M200" s="123"/>
      <c r="N200" s="126" t="str">
        <f aca="true">IF(OR(J200="",L200="Cerrado",L200="Cancelado"),"",MAX(0,TODAY()-J200))</f>
        <v/>
      </c>
      <c r="O200" s="124"/>
    </row>
    <row r="201" customFormat="false" ht="15" hidden="false" customHeight="false" outlineLevel="0" collapsed="false">
      <c r="A201" s="122" t="n">
        <v>192</v>
      </c>
      <c r="B201" s="123"/>
      <c r="C201" s="124"/>
      <c r="D201" s="125"/>
      <c r="E201" s="124"/>
      <c r="F201" s="124"/>
      <c r="G201" s="124"/>
      <c r="H201" s="124"/>
      <c r="I201" s="124"/>
      <c r="J201" s="123"/>
      <c r="K201" s="125"/>
      <c r="L201" s="125"/>
      <c r="M201" s="123"/>
      <c r="N201" s="126" t="str">
        <f aca="true">IF(OR(J201="",L201="Cerrado",L201="Cancelado"),"",MAX(0,TODAY()-J201))</f>
        <v/>
      </c>
      <c r="O201" s="124"/>
    </row>
    <row r="202" customFormat="false" ht="15" hidden="false" customHeight="false" outlineLevel="0" collapsed="false">
      <c r="A202" s="122" t="n">
        <v>193</v>
      </c>
      <c r="B202" s="123"/>
      <c r="C202" s="124"/>
      <c r="D202" s="125"/>
      <c r="E202" s="124"/>
      <c r="F202" s="124"/>
      <c r="G202" s="124"/>
      <c r="H202" s="124"/>
      <c r="I202" s="124"/>
      <c r="J202" s="123"/>
      <c r="K202" s="125"/>
      <c r="L202" s="125"/>
      <c r="M202" s="123"/>
      <c r="N202" s="126" t="str">
        <f aca="true">IF(OR(J202="",L202="Cerrado",L202="Cancelado"),"",MAX(0,TODAY()-J202))</f>
        <v/>
      </c>
      <c r="O202" s="124"/>
    </row>
    <row r="203" customFormat="false" ht="15" hidden="false" customHeight="false" outlineLevel="0" collapsed="false">
      <c r="A203" s="122" t="n">
        <v>194</v>
      </c>
      <c r="B203" s="123"/>
      <c r="C203" s="124"/>
      <c r="D203" s="125"/>
      <c r="E203" s="124"/>
      <c r="F203" s="124"/>
      <c r="G203" s="124"/>
      <c r="H203" s="124"/>
      <c r="I203" s="124"/>
      <c r="J203" s="123"/>
      <c r="K203" s="125"/>
      <c r="L203" s="125"/>
      <c r="M203" s="123"/>
      <c r="N203" s="126" t="str">
        <f aca="true">IF(OR(J203="",L203="Cerrado",L203="Cancelado"),"",MAX(0,TODAY()-J203))</f>
        <v/>
      </c>
      <c r="O203" s="124"/>
    </row>
    <row r="204" customFormat="false" ht="15" hidden="false" customHeight="false" outlineLevel="0" collapsed="false">
      <c r="A204" s="122" t="n">
        <v>195</v>
      </c>
      <c r="B204" s="123"/>
      <c r="C204" s="124"/>
      <c r="D204" s="125"/>
      <c r="E204" s="124"/>
      <c r="F204" s="124"/>
      <c r="G204" s="124"/>
      <c r="H204" s="124"/>
      <c r="I204" s="124"/>
      <c r="J204" s="123"/>
      <c r="K204" s="125"/>
      <c r="L204" s="125"/>
      <c r="M204" s="123"/>
      <c r="N204" s="126" t="str">
        <f aca="true">IF(OR(J204="",L204="Cerrado",L204="Cancelado"),"",MAX(0,TODAY()-J204))</f>
        <v/>
      </c>
      <c r="O204" s="124"/>
    </row>
    <row r="205" customFormat="false" ht="15" hidden="false" customHeight="false" outlineLevel="0" collapsed="false">
      <c r="A205" s="122" t="n">
        <v>196</v>
      </c>
      <c r="B205" s="123"/>
      <c r="C205" s="124"/>
      <c r="D205" s="125"/>
      <c r="E205" s="124"/>
      <c r="F205" s="124"/>
      <c r="G205" s="124"/>
      <c r="H205" s="124"/>
      <c r="I205" s="124"/>
      <c r="J205" s="123"/>
      <c r="K205" s="125"/>
      <c r="L205" s="125"/>
      <c r="M205" s="123"/>
      <c r="N205" s="126" t="str">
        <f aca="true">IF(OR(J205="",L205="Cerrado",L205="Cancelado"),"",MAX(0,TODAY()-J205))</f>
        <v/>
      </c>
      <c r="O205" s="124"/>
    </row>
    <row r="206" customFormat="false" ht="15" hidden="false" customHeight="false" outlineLevel="0" collapsed="false">
      <c r="A206" s="122" t="n">
        <v>197</v>
      </c>
      <c r="B206" s="123"/>
      <c r="C206" s="124"/>
      <c r="D206" s="125"/>
      <c r="E206" s="124"/>
      <c r="F206" s="124"/>
      <c r="G206" s="124"/>
      <c r="H206" s="124"/>
      <c r="I206" s="124"/>
      <c r="J206" s="123"/>
      <c r="K206" s="125"/>
      <c r="L206" s="125"/>
      <c r="M206" s="123"/>
      <c r="N206" s="126" t="str">
        <f aca="true">IF(OR(J206="",L206="Cerrado",L206="Cancelado"),"",MAX(0,TODAY()-J206))</f>
        <v/>
      </c>
      <c r="O206" s="124"/>
    </row>
    <row r="207" customFormat="false" ht="15" hidden="false" customHeight="false" outlineLevel="0" collapsed="false">
      <c r="A207" s="122" t="n">
        <v>198</v>
      </c>
      <c r="B207" s="123"/>
      <c r="C207" s="124"/>
      <c r="D207" s="125"/>
      <c r="E207" s="124"/>
      <c r="F207" s="124"/>
      <c r="G207" s="124"/>
      <c r="H207" s="124"/>
      <c r="I207" s="124"/>
      <c r="J207" s="123"/>
      <c r="K207" s="125"/>
      <c r="L207" s="125"/>
      <c r="M207" s="123"/>
      <c r="N207" s="126" t="str">
        <f aca="true">IF(OR(J207="",L207="Cerrado",L207="Cancelado"),"",MAX(0,TODAY()-J207))</f>
        <v/>
      </c>
      <c r="O207" s="124"/>
    </row>
    <row r="208" customFormat="false" ht="15" hidden="false" customHeight="false" outlineLevel="0" collapsed="false">
      <c r="A208" s="122" t="n">
        <v>199</v>
      </c>
      <c r="B208" s="123"/>
      <c r="C208" s="124"/>
      <c r="D208" s="125"/>
      <c r="E208" s="124"/>
      <c r="F208" s="124"/>
      <c r="G208" s="124"/>
      <c r="H208" s="124"/>
      <c r="I208" s="124"/>
      <c r="J208" s="123"/>
      <c r="K208" s="125"/>
      <c r="L208" s="125"/>
      <c r="M208" s="123"/>
      <c r="N208" s="126" t="str">
        <f aca="true">IF(OR(J208="",L208="Cerrado",L208="Cancelado"),"",MAX(0,TODAY()-J208))</f>
        <v/>
      </c>
      <c r="O208" s="124"/>
    </row>
    <row r="209" customFormat="false" ht="15" hidden="false" customHeight="false" outlineLevel="0" collapsed="false">
      <c r="A209" s="122" t="n">
        <v>200</v>
      </c>
      <c r="B209" s="123"/>
      <c r="C209" s="124"/>
      <c r="D209" s="125"/>
      <c r="E209" s="124"/>
      <c r="F209" s="124"/>
      <c r="G209" s="124"/>
      <c r="H209" s="124"/>
      <c r="I209" s="124"/>
      <c r="J209" s="123"/>
      <c r="K209" s="125"/>
      <c r="L209" s="125"/>
      <c r="M209" s="123"/>
      <c r="N209" s="126" t="str">
        <f aca="true">IF(OR(J209="",L209="Cerrado",L209="Cancelado"),"",MAX(0,TODAY()-J209))</f>
        <v/>
      </c>
      <c r="O209" s="124"/>
    </row>
    <row r="210" customFormat="false" ht="15" hidden="false" customHeight="false" outlineLevel="0" collapsed="false">
      <c r="A210" s="122" t="n">
        <v>201</v>
      </c>
      <c r="B210" s="123"/>
      <c r="C210" s="124"/>
      <c r="D210" s="125"/>
      <c r="E210" s="124"/>
      <c r="F210" s="124"/>
      <c r="G210" s="124"/>
      <c r="H210" s="124"/>
      <c r="I210" s="124"/>
      <c r="J210" s="123"/>
      <c r="K210" s="125"/>
      <c r="L210" s="125"/>
      <c r="M210" s="123"/>
      <c r="N210" s="126" t="str">
        <f aca="true">IF(OR(J210="",L210="Cerrado",L210="Cancelado"),"",MAX(0,TODAY()-J210))</f>
        <v/>
      </c>
      <c r="O210" s="124"/>
    </row>
    <row r="211" customFormat="false" ht="15" hidden="false" customHeight="false" outlineLevel="0" collapsed="false">
      <c r="A211" s="122" t="n">
        <v>202</v>
      </c>
      <c r="B211" s="123"/>
      <c r="C211" s="124"/>
      <c r="D211" s="125"/>
      <c r="E211" s="124"/>
      <c r="F211" s="124"/>
      <c r="G211" s="124"/>
      <c r="H211" s="124"/>
      <c r="I211" s="124"/>
      <c r="J211" s="123"/>
      <c r="K211" s="125"/>
      <c r="L211" s="125"/>
      <c r="M211" s="123"/>
      <c r="N211" s="126" t="str">
        <f aca="true">IF(OR(J211="",L211="Cerrado",L211="Cancelado"),"",MAX(0,TODAY()-J211))</f>
        <v/>
      </c>
      <c r="O211" s="124"/>
    </row>
    <row r="212" customFormat="false" ht="15" hidden="false" customHeight="false" outlineLevel="0" collapsed="false">
      <c r="A212" s="122" t="n">
        <v>203</v>
      </c>
      <c r="B212" s="123"/>
      <c r="C212" s="124"/>
      <c r="D212" s="125"/>
      <c r="E212" s="124"/>
      <c r="F212" s="124"/>
      <c r="G212" s="124"/>
      <c r="H212" s="124"/>
      <c r="I212" s="124"/>
      <c r="J212" s="123"/>
      <c r="K212" s="125"/>
      <c r="L212" s="125"/>
      <c r="M212" s="123"/>
      <c r="N212" s="126" t="str">
        <f aca="true">IF(OR(J212="",L212="Cerrado",L212="Cancelado"),"",MAX(0,TODAY()-J212))</f>
        <v/>
      </c>
      <c r="O212" s="124"/>
    </row>
    <row r="213" customFormat="false" ht="15" hidden="false" customHeight="false" outlineLevel="0" collapsed="false">
      <c r="A213" s="122" t="n">
        <v>204</v>
      </c>
      <c r="B213" s="123"/>
      <c r="C213" s="124"/>
      <c r="D213" s="125"/>
      <c r="E213" s="124"/>
      <c r="F213" s="124"/>
      <c r="G213" s="124"/>
      <c r="H213" s="124"/>
      <c r="I213" s="124"/>
      <c r="J213" s="123"/>
      <c r="K213" s="125"/>
      <c r="L213" s="125"/>
      <c r="M213" s="123"/>
      <c r="N213" s="126" t="str">
        <f aca="true">IF(OR(J213="",L213="Cerrado",L213="Cancelado"),"",MAX(0,TODAY()-J213))</f>
        <v/>
      </c>
      <c r="O213" s="124"/>
    </row>
    <row r="214" customFormat="false" ht="15" hidden="false" customHeight="false" outlineLevel="0" collapsed="false">
      <c r="A214" s="122" t="n">
        <v>205</v>
      </c>
      <c r="B214" s="123"/>
      <c r="C214" s="124"/>
      <c r="D214" s="125"/>
      <c r="E214" s="124"/>
      <c r="F214" s="124"/>
      <c r="G214" s="124"/>
      <c r="H214" s="124"/>
      <c r="I214" s="124"/>
      <c r="J214" s="123"/>
      <c r="K214" s="125"/>
      <c r="L214" s="125"/>
      <c r="M214" s="123"/>
      <c r="N214" s="126" t="str">
        <f aca="true">IF(OR(J214="",L214="Cerrado",L214="Cancelado"),"",MAX(0,TODAY()-J214))</f>
        <v/>
      </c>
      <c r="O214" s="124"/>
    </row>
    <row r="215" customFormat="false" ht="15" hidden="false" customHeight="false" outlineLevel="0" collapsed="false">
      <c r="A215" s="122" t="n">
        <v>206</v>
      </c>
      <c r="B215" s="123"/>
      <c r="C215" s="124"/>
      <c r="D215" s="125"/>
      <c r="E215" s="124"/>
      <c r="F215" s="124"/>
      <c r="G215" s="124"/>
      <c r="H215" s="124"/>
      <c r="I215" s="124"/>
      <c r="J215" s="123"/>
      <c r="K215" s="125"/>
      <c r="L215" s="125"/>
      <c r="M215" s="123"/>
      <c r="N215" s="126" t="str">
        <f aca="true">IF(OR(J215="",L215="Cerrado",L215="Cancelado"),"",MAX(0,TODAY()-J215))</f>
        <v/>
      </c>
      <c r="O215" s="124"/>
    </row>
    <row r="216" customFormat="false" ht="15" hidden="false" customHeight="false" outlineLevel="0" collapsed="false">
      <c r="A216" s="122" t="n">
        <v>207</v>
      </c>
      <c r="B216" s="123"/>
      <c r="C216" s="124"/>
      <c r="D216" s="125"/>
      <c r="E216" s="124"/>
      <c r="F216" s="124"/>
      <c r="G216" s="124"/>
      <c r="H216" s="124"/>
      <c r="I216" s="124"/>
      <c r="J216" s="123"/>
      <c r="K216" s="125"/>
      <c r="L216" s="125"/>
      <c r="M216" s="123"/>
      <c r="N216" s="126" t="str">
        <f aca="true">IF(OR(J216="",L216="Cerrado",L216="Cancelado"),"",MAX(0,TODAY()-J216))</f>
        <v/>
      </c>
      <c r="O216" s="124"/>
    </row>
    <row r="217" customFormat="false" ht="15" hidden="false" customHeight="false" outlineLevel="0" collapsed="false">
      <c r="A217" s="122" t="n">
        <v>208</v>
      </c>
      <c r="B217" s="123"/>
      <c r="C217" s="124"/>
      <c r="D217" s="125"/>
      <c r="E217" s="124"/>
      <c r="F217" s="124"/>
      <c r="G217" s="124"/>
      <c r="H217" s="124"/>
      <c r="I217" s="124"/>
      <c r="J217" s="123"/>
      <c r="K217" s="125"/>
      <c r="L217" s="125"/>
      <c r="M217" s="123"/>
      <c r="N217" s="126" t="str">
        <f aca="true">IF(OR(J217="",L217="Cerrado",L217="Cancelado"),"",MAX(0,TODAY()-J217))</f>
        <v/>
      </c>
      <c r="O217" s="124"/>
    </row>
    <row r="218" customFormat="false" ht="15" hidden="false" customHeight="false" outlineLevel="0" collapsed="false">
      <c r="A218" s="122" t="n">
        <v>209</v>
      </c>
      <c r="B218" s="123"/>
      <c r="C218" s="124"/>
      <c r="D218" s="125"/>
      <c r="E218" s="124"/>
      <c r="F218" s="124"/>
      <c r="G218" s="124"/>
      <c r="H218" s="124"/>
      <c r="I218" s="124"/>
      <c r="J218" s="123"/>
      <c r="K218" s="125"/>
      <c r="L218" s="125"/>
      <c r="M218" s="123"/>
      <c r="N218" s="126" t="str">
        <f aca="true">IF(OR(J218="",L218="Cerrado",L218="Cancelado"),"",MAX(0,TODAY()-J218))</f>
        <v/>
      </c>
      <c r="O218" s="124"/>
    </row>
    <row r="219" customFormat="false" ht="15" hidden="false" customHeight="false" outlineLevel="0" collapsed="false">
      <c r="A219" s="122" t="n">
        <v>210</v>
      </c>
      <c r="B219" s="123"/>
      <c r="C219" s="124"/>
      <c r="D219" s="125"/>
      <c r="E219" s="124"/>
      <c r="F219" s="124"/>
      <c r="G219" s="124"/>
      <c r="H219" s="124"/>
      <c r="I219" s="124"/>
      <c r="J219" s="123"/>
      <c r="K219" s="125"/>
      <c r="L219" s="125"/>
      <c r="M219" s="123"/>
      <c r="N219" s="126" t="str">
        <f aca="true">IF(OR(J219="",L219="Cerrado",L219="Cancelado"),"",MAX(0,TODAY()-J219))</f>
        <v/>
      </c>
      <c r="O219" s="124"/>
    </row>
    <row r="220" customFormat="false" ht="15" hidden="false" customHeight="false" outlineLevel="0" collapsed="false">
      <c r="A220" s="122" t="n">
        <v>211</v>
      </c>
      <c r="B220" s="123"/>
      <c r="C220" s="124"/>
      <c r="D220" s="125"/>
      <c r="E220" s="124"/>
      <c r="F220" s="124"/>
      <c r="G220" s="124"/>
      <c r="H220" s="124"/>
      <c r="I220" s="124"/>
      <c r="J220" s="123"/>
      <c r="K220" s="125"/>
      <c r="L220" s="125"/>
      <c r="M220" s="123"/>
      <c r="N220" s="126" t="str">
        <f aca="true">IF(OR(J220="",L220="Cerrado",L220="Cancelado"),"",MAX(0,TODAY()-J220))</f>
        <v/>
      </c>
      <c r="O220" s="124"/>
    </row>
    <row r="221" customFormat="false" ht="15" hidden="false" customHeight="false" outlineLevel="0" collapsed="false">
      <c r="A221" s="122" t="n">
        <v>212</v>
      </c>
      <c r="B221" s="123"/>
      <c r="C221" s="124"/>
      <c r="D221" s="125"/>
      <c r="E221" s="124"/>
      <c r="F221" s="124"/>
      <c r="G221" s="124"/>
      <c r="H221" s="124"/>
      <c r="I221" s="124"/>
      <c r="J221" s="123"/>
      <c r="K221" s="125"/>
      <c r="L221" s="125"/>
      <c r="M221" s="123"/>
      <c r="N221" s="126" t="str">
        <f aca="true">IF(OR(J221="",L221="Cerrado",L221="Cancelado"),"",MAX(0,TODAY()-J221))</f>
        <v/>
      </c>
      <c r="O221" s="124"/>
    </row>
    <row r="222" customFormat="false" ht="15" hidden="false" customHeight="false" outlineLevel="0" collapsed="false">
      <c r="A222" s="122" t="n">
        <v>213</v>
      </c>
      <c r="B222" s="123"/>
      <c r="C222" s="124"/>
      <c r="D222" s="125"/>
      <c r="E222" s="124"/>
      <c r="F222" s="124"/>
      <c r="G222" s="124"/>
      <c r="H222" s="124"/>
      <c r="I222" s="124"/>
      <c r="J222" s="123"/>
      <c r="K222" s="125"/>
      <c r="L222" s="125"/>
      <c r="M222" s="123"/>
      <c r="N222" s="126" t="str">
        <f aca="true">IF(OR(J222="",L222="Cerrado",L222="Cancelado"),"",MAX(0,TODAY()-J222))</f>
        <v/>
      </c>
      <c r="O222" s="124"/>
    </row>
    <row r="223" customFormat="false" ht="15" hidden="false" customHeight="false" outlineLevel="0" collapsed="false">
      <c r="A223" s="122" t="n">
        <v>214</v>
      </c>
      <c r="B223" s="123"/>
      <c r="C223" s="124"/>
      <c r="D223" s="125"/>
      <c r="E223" s="124"/>
      <c r="F223" s="124"/>
      <c r="G223" s="124"/>
      <c r="H223" s="124"/>
      <c r="I223" s="124"/>
      <c r="J223" s="123"/>
      <c r="K223" s="125"/>
      <c r="L223" s="125"/>
      <c r="M223" s="123"/>
      <c r="N223" s="126" t="str">
        <f aca="true">IF(OR(J223="",L223="Cerrado",L223="Cancelado"),"",MAX(0,TODAY()-J223))</f>
        <v/>
      </c>
      <c r="O223" s="124"/>
    </row>
    <row r="224" customFormat="false" ht="15" hidden="false" customHeight="false" outlineLevel="0" collapsed="false">
      <c r="A224" s="122" t="n">
        <v>215</v>
      </c>
      <c r="B224" s="123"/>
      <c r="C224" s="124"/>
      <c r="D224" s="125"/>
      <c r="E224" s="124"/>
      <c r="F224" s="124"/>
      <c r="G224" s="124"/>
      <c r="H224" s="124"/>
      <c r="I224" s="124"/>
      <c r="J224" s="123"/>
      <c r="K224" s="125"/>
      <c r="L224" s="125"/>
      <c r="M224" s="123"/>
      <c r="N224" s="126" t="str">
        <f aca="true">IF(OR(J224="",L224="Cerrado",L224="Cancelado"),"",MAX(0,TODAY()-J224))</f>
        <v/>
      </c>
      <c r="O224" s="124"/>
    </row>
    <row r="225" customFormat="false" ht="15" hidden="false" customHeight="false" outlineLevel="0" collapsed="false">
      <c r="A225" s="122" t="n">
        <v>216</v>
      </c>
      <c r="B225" s="123"/>
      <c r="C225" s="124"/>
      <c r="D225" s="125"/>
      <c r="E225" s="124"/>
      <c r="F225" s="124"/>
      <c r="G225" s="124"/>
      <c r="H225" s="124"/>
      <c r="I225" s="124"/>
      <c r="J225" s="123"/>
      <c r="K225" s="125"/>
      <c r="L225" s="125"/>
      <c r="M225" s="123"/>
      <c r="N225" s="126" t="str">
        <f aca="true">IF(OR(J225="",L225="Cerrado",L225="Cancelado"),"",MAX(0,TODAY()-J225))</f>
        <v/>
      </c>
      <c r="O225" s="124"/>
    </row>
    <row r="226" customFormat="false" ht="15" hidden="false" customHeight="false" outlineLevel="0" collapsed="false">
      <c r="A226" s="122" t="n">
        <v>217</v>
      </c>
      <c r="B226" s="123"/>
      <c r="C226" s="124"/>
      <c r="D226" s="125"/>
      <c r="E226" s="124"/>
      <c r="F226" s="124"/>
      <c r="G226" s="124"/>
      <c r="H226" s="124"/>
      <c r="I226" s="124"/>
      <c r="J226" s="123"/>
      <c r="K226" s="125"/>
      <c r="L226" s="125"/>
      <c r="M226" s="123"/>
      <c r="N226" s="126" t="str">
        <f aca="true">IF(OR(J226="",L226="Cerrado",L226="Cancelado"),"",MAX(0,TODAY()-J226))</f>
        <v/>
      </c>
      <c r="O226" s="124"/>
    </row>
    <row r="227" customFormat="false" ht="15" hidden="false" customHeight="false" outlineLevel="0" collapsed="false">
      <c r="A227" s="122" t="n">
        <v>218</v>
      </c>
      <c r="B227" s="123"/>
      <c r="C227" s="124"/>
      <c r="D227" s="125"/>
      <c r="E227" s="124"/>
      <c r="F227" s="124"/>
      <c r="G227" s="124"/>
      <c r="H227" s="124"/>
      <c r="I227" s="124"/>
      <c r="J227" s="123"/>
      <c r="K227" s="125"/>
      <c r="L227" s="125"/>
      <c r="M227" s="123"/>
      <c r="N227" s="126" t="str">
        <f aca="true">IF(OR(J227="",L227="Cerrado",L227="Cancelado"),"",MAX(0,TODAY()-J227))</f>
        <v/>
      </c>
      <c r="O227" s="124"/>
    </row>
    <row r="228" customFormat="false" ht="15" hidden="false" customHeight="false" outlineLevel="0" collapsed="false">
      <c r="A228" s="122" t="n">
        <v>219</v>
      </c>
      <c r="B228" s="123"/>
      <c r="C228" s="124"/>
      <c r="D228" s="125"/>
      <c r="E228" s="124"/>
      <c r="F228" s="124"/>
      <c r="G228" s="124"/>
      <c r="H228" s="124"/>
      <c r="I228" s="124"/>
      <c r="J228" s="123"/>
      <c r="K228" s="125"/>
      <c r="L228" s="125"/>
      <c r="M228" s="123"/>
      <c r="N228" s="126" t="str">
        <f aca="true">IF(OR(J228="",L228="Cerrado",L228="Cancelado"),"",MAX(0,TODAY()-J228))</f>
        <v/>
      </c>
      <c r="O228" s="124"/>
    </row>
    <row r="229" customFormat="false" ht="15" hidden="false" customHeight="false" outlineLevel="0" collapsed="false">
      <c r="A229" s="122" t="n">
        <v>220</v>
      </c>
      <c r="B229" s="123"/>
      <c r="C229" s="124"/>
      <c r="D229" s="125"/>
      <c r="E229" s="124"/>
      <c r="F229" s="124"/>
      <c r="G229" s="124"/>
      <c r="H229" s="124"/>
      <c r="I229" s="124"/>
      <c r="J229" s="123"/>
      <c r="K229" s="125"/>
      <c r="L229" s="125"/>
      <c r="M229" s="123"/>
      <c r="N229" s="126" t="str">
        <f aca="true">IF(OR(J229="",L229="Cerrado",L229="Cancelado"),"",MAX(0,TODAY()-J229))</f>
        <v/>
      </c>
      <c r="O229" s="124"/>
    </row>
    <row r="230" customFormat="false" ht="15" hidden="false" customHeight="false" outlineLevel="0" collapsed="false">
      <c r="A230" s="122" t="n">
        <v>221</v>
      </c>
      <c r="B230" s="123"/>
      <c r="C230" s="124"/>
      <c r="D230" s="125"/>
      <c r="E230" s="124"/>
      <c r="F230" s="124"/>
      <c r="G230" s="124"/>
      <c r="H230" s="124"/>
      <c r="I230" s="124"/>
      <c r="J230" s="123"/>
      <c r="K230" s="125"/>
      <c r="L230" s="125"/>
      <c r="M230" s="123"/>
      <c r="N230" s="126" t="str">
        <f aca="true">IF(OR(J230="",L230="Cerrado",L230="Cancelado"),"",MAX(0,TODAY()-J230))</f>
        <v/>
      </c>
      <c r="O230" s="124"/>
    </row>
    <row r="231" customFormat="false" ht="15" hidden="false" customHeight="false" outlineLevel="0" collapsed="false">
      <c r="A231" s="122" t="n">
        <v>222</v>
      </c>
      <c r="B231" s="123"/>
      <c r="C231" s="124"/>
      <c r="D231" s="125"/>
      <c r="E231" s="124"/>
      <c r="F231" s="124"/>
      <c r="G231" s="124"/>
      <c r="H231" s="124"/>
      <c r="I231" s="124"/>
      <c r="J231" s="123"/>
      <c r="K231" s="125"/>
      <c r="L231" s="125"/>
      <c r="M231" s="123"/>
      <c r="N231" s="126" t="str">
        <f aca="true">IF(OR(J231="",L231="Cerrado",L231="Cancelado"),"",MAX(0,TODAY()-J231))</f>
        <v/>
      </c>
      <c r="O231" s="124"/>
    </row>
    <row r="232" customFormat="false" ht="15" hidden="false" customHeight="false" outlineLevel="0" collapsed="false">
      <c r="A232" s="122" t="n">
        <v>223</v>
      </c>
      <c r="B232" s="123"/>
      <c r="C232" s="124"/>
      <c r="D232" s="125"/>
      <c r="E232" s="124"/>
      <c r="F232" s="124"/>
      <c r="G232" s="124"/>
      <c r="H232" s="124"/>
      <c r="I232" s="124"/>
      <c r="J232" s="123"/>
      <c r="K232" s="125"/>
      <c r="L232" s="125"/>
      <c r="M232" s="123"/>
      <c r="N232" s="126" t="str">
        <f aca="true">IF(OR(J232="",L232="Cerrado",L232="Cancelado"),"",MAX(0,TODAY()-J232))</f>
        <v/>
      </c>
      <c r="O232" s="124"/>
    </row>
    <row r="233" customFormat="false" ht="15" hidden="false" customHeight="false" outlineLevel="0" collapsed="false">
      <c r="A233" s="122" t="n">
        <v>224</v>
      </c>
      <c r="B233" s="123"/>
      <c r="C233" s="124"/>
      <c r="D233" s="125"/>
      <c r="E233" s="124"/>
      <c r="F233" s="124"/>
      <c r="G233" s="124"/>
      <c r="H233" s="124"/>
      <c r="I233" s="124"/>
      <c r="J233" s="123"/>
      <c r="K233" s="125"/>
      <c r="L233" s="125"/>
      <c r="M233" s="123"/>
      <c r="N233" s="126" t="str">
        <f aca="true">IF(OR(J233="",L233="Cerrado",L233="Cancelado"),"",MAX(0,TODAY()-J233))</f>
        <v/>
      </c>
      <c r="O233" s="124"/>
    </row>
    <row r="234" customFormat="false" ht="15" hidden="false" customHeight="false" outlineLevel="0" collapsed="false">
      <c r="A234" s="122" t="n">
        <v>225</v>
      </c>
      <c r="B234" s="123"/>
      <c r="C234" s="124"/>
      <c r="D234" s="125"/>
      <c r="E234" s="124"/>
      <c r="F234" s="124"/>
      <c r="G234" s="124"/>
      <c r="H234" s="124"/>
      <c r="I234" s="124"/>
      <c r="J234" s="123"/>
      <c r="K234" s="125"/>
      <c r="L234" s="125"/>
      <c r="M234" s="123"/>
      <c r="N234" s="126" t="str">
        <f aca="true">IF(OR(J234="",L234="Cerrado",L234="Cancelado"),"",MAX(0,TODAY()-J234))</f>
        <v/>
      </c>
      <c r="O234" s="124"/>
    </row>
    <row r="235" customFormat="false" ht="15" hidden="false" customHeight="false" outlineLevel="0" collapsed="false">
      <c r="A235" s="122" t="n">
        <v>226</v>
      </c>
      <c r="B235" s="123"/>
      <c r="C235" s="124"/>
      <c r="D235" s="125"/>
      <c r="E235" s="124"/>
      <c r="F235" s="124"/>
      <c r="G235" s="124"/>
      <c r="H235" s="124"/>
      <c r="I235" s="124"/>
      <c r="J235" s="123"/>
      <c r="K235" s="125"/>
      <c r="L235" s="125"/>
      <c r="M235" s="123"/>
      <c r="N235" s="126" t="str">
        <f aca="true">IF(OR(J235="",L235="Cerrado",L235="Cancelado"),"",MAX(0,TODAY()-J235))</f>
        <v/>
      </c>
      <c r="O235" s="124"/>
    </row>
    <row r="236" customFormat="false" ht="15" hidden="false" customHeight="false" outlineLevel="0" collapsed="false">
      <c r="A236" s="122" t="n">
        <v>227</v>
      </c>
      <c r="B236" s="123"/>
      <c r="C236" s="124"/>
      <c r="D236" s="125"/>
      <c r="E236" s="124"/>
      <c r="F236" s="124"/>
      <c r="G236" s="124"/>
      <c r="H236" s="124"/>
      <c r="I236" s="124"/>
      <c r="J236" s="123"/>
      <c r="K236" s="125"/>
      <c r="L236" s="125"/>
      <c r="M236" s="123"/>
      <c r="N236" s="126" t="str">
        <f aca="true">IF(OR(J236="",L236="Cerrado",L236="Cancelado"),"",MAX(0,TODAY()-J236))</f>
        <v/>
      </c>
      <c r="O236" s="124"/>
    </row>
    <row r="237" customFormat="false" ht="15" hidden="false" customHeight="false" outlineLevel="0" collapsed="false">
      <c r="A237" s="122" t="n">
        <v>228</v>
      </c>
      <c r="B237" s="123"/>
      <c r="C237" s="124"/>
      <c r="D237" s="125"/>
      <c r="E237" s="124"/>
      <c r="F237" s="124"/>
      <c r="G237" s="124"/>
      <c r="H237" s="124"/>
      <c r="I237" s="124"/>
      <c r="J237" s="123"/>
      <c r="K237" s="125"/>
      <c r="L237" s="125"/>
      <c r="M237" s="123"/>
      <c r="N237" s="126" t="str">
        <f aca="true">IF(OR(J237="",L237="Cerrado",L237="Cancelado"),"",MAX(0,TODAY()-J237))</f>
        <v/>
      </c>
      <c r="O237" s="124"/>
    </row>
    <row r="238" customFormat="false" ht="15" hidden="false" customHeight="false" outlineLevel="0" collapsed="false">
      <c r="A238" s="122" t="n">
        <v>229</v>
      </c>
      <c r="B238" s="123"/>
      <c r="C238" s="124"/>
      <c r="D238" s="125"/>
      <c r="E238" s="124"/>
      <c r="F238" s="124"/>
      <c r="G238" s="124"/>
      <c r="H238" s="124"/>
      <c r="I238" s="124"/>
      <c r="J238" s="123"/>
      <c r="K238" s="125"/>
      <c r="L238" s="125"/>
      <c r="M238" s="123"/>
      <c r="N238" s="126" t="str">
        <f aca="true">IF(OR(J238="",L238="Cerrado",L238="Cancelado"),"",MAX(0,TODAY()-J238))</f>
        <v/>
      </c>
      <c r="O238" s="124"/>
    </row>
    <row r="239" customFormat="false" ht="15" hidden="false" customHeight="false" outlineLevel="0" collapsed="false">
      <c r="A239" s="122" t="n">
        <v>230</v>
      </c>
      <c r="B239" s="123"/>
      <c r="C239" s="124"/>
      <c r="D239" s="125"/>
      <c r="E239" s="124"/>
      <c r="F239" s="124"/>
      <c r="G239" s="124"/>
      <c r="H239" s="124"/>
      <c r="I239" s="124"/>
      <c r="J239" s="123"/>
      <c r="K239" s="125"/>
      <c r="L239" s="125"/>
      <c r="M239" s="123"/>
      <c r="N239" s="126" t="str">
        <f aca="true">IF(OR(J239="",L239="Cerrado",L239="Cancelado"),"",MAX(0,TODAY()-J239))</f>
        <v/>
      </c>
      <c r="O239" s="124"/>
    </row>
    <row r="240" customFormat="false" ht="15" hidden="false" customHeight="false" outlineLevel="0" collapsed="false">
      <c r="A240" s="122" t="n">
        <v>231</v>
      </c>
      <c r="B240" s="123"/>
      <c r="C240" s="124"/>
      <c r="D240" s="125"/>
      <c r="E240" s="124"/>
      <c r="F240" s="124"/>
      <c r="G240" s="124"/>
      <c r="H240" s="124"/>
      <c r="I240" s="124"/>
      <c r="J240" s="123"/>
      <c r="K240" s="125"/>
      <c r="L240" s="125"/>
      <c r="M240" s="123"/>
      <c r="N240" s="126" t="str">
        <f aca="true">IF(OR(J240="",L240="Cerrado",L240="Cancelado"),"",MAX(0,TODAY()-J240))</f>
        <v/>
      </c>
      <c r="O240" s="124"/>
    </row>
    <row r="241" customFormat="false" ht="15" hidden="false" customHeight="false" outlineLevel="0" collapsed="false">
      <c r="A241" s="122" t="n">
        <v>232</v>
      </c>
      <c r="B241" s="123"/>
      <c r="C241" s="124"/>
      <c r="D241" s="125"/>
      <c r="E241" s="124"/>
      <c r="F241" s="124"/>
      <c r="G241" s="124"/>
      <c r="H241" s="124"/>
      <c r="I241" s="124"/>
      <c r="J241" s="123"/>
      <c r="K241" s="125"/>
      <c r="L241" s="125"/>
      <c r="M241" s="123"/>
      <c r="N241" s="126" t="str">
        <f aca="true">IF(OR(J241="",L241="Cerrado",L241="Cancelado"),"",MAX(0,TODAY()-J241))</f>
        <v/>
      </c>
      <c r="O241" s="124"/>
    </row>
    <row r="242" customFormat="false" ht="15" hidden="false" customHeight="false" outlineLevel="0" collapsed="false">
      <c r="A242" s="122" t="n">
        <v>233</v>
      </c>
      <c r="B242" s="123"/>
      <c r="C242" s="124"/>
      <c r="D242" s="125"/>
      <c r="E242" s="124"/>
      <c r="F242" s="124"/>
      <c r="G242" s="124"/>
      <c r="H242" s="124"/>
      <c r="I242" s="124"/>
      <c r="J242" s="123"/>
      <c r="K242" s="125"/>
      <c r="L242" s="125"/>
      <c r="M242" s="123"/>
      <c r="N242" s="126" t="str">
        <f aca="true">IF(OR(J242="",L242="Cerrado",L242="Cancelado"),"",MAX(0,TODAY()-J242))</f>
        <v/>
      </c>
      <c r="O242" s="124"/>
    </row>
    <row r="243" customFormat="false" ht="15" hidden="false" customHeight="false" outlineLevel="0" collapsed="false">
      <c r="A243" s="122" t="n">
        <v>234</v>
      </c>
      <c r="B243" s="123"/>
      <c r="C243" s="124"/>
      <c r="D243" s="125"/>
      <c r="E243" s="124"/>
      <c r="F243" s="124"/>
      <c r="G243" s="124"/>
      <c r="H243" s="124"/>
      <c r="I243" s="124"/>
      <c r="J243" s="123"/>
      <c r="K243" s="125"/>
      <c r="L243" s="125"/>
      <c r="M243" s="123"/>
      <c r="N243" s="126" t="str">
        <f aca="true">IF(OR(J243="",L243="Cerrado",L243="Cancelado"),"",MAX(0,TODAY()-J243))</f>
        <v/>
      </c>
      <c r="O243" s="124"/>
    </row>
    <row r="244" customFormat="false" ht="15" hidden="false" customHeight="false" outlineLevel="0" collapsed="false">
      <c r="A244" s="122" t="n">
        <v>235</v>
      </c>
      <c r="B244" s="123"/>
      <c r="C244" s="124"/>
      <c r="D244" s="125"/>
      <c r="E244" s="124"/>
      <c r="F244" s="124"/>
      <c r="G244" s="124"/>
      <c r="H244" s="124"/>
      <c r="I244" s="124"/>
      <c r="J244" s="123"/>
      <c r="K244" s="125"/>
      <c r="L244" s="125"/>
      <c r="M244" s="123"/>
      <c r="N244" s="126" t="str">
        <f aca="true">IF(OR(J244="",L244="Cerrado",L244="Cancelado"),"",MAX(0,TODAY()-J244))</f>
        <v/>
      </c>
      <c r="O244" s="124"/>
    </row>
    <row r="245" customFormat="false" ht="15" hidden="false" customHeight="false" outlineLevel="0" collapsed="false">
      <c r="A245" s="122" t="n">
        <v>236</v>
      </c>
      <c r="B245" s="123"/>
      <c r="C245" s="124"/>
      <c r="D245" s="125"/>
      <c r="E245" s="124"/>
      <c r="F245" s="124"/>
      <c r="G245" s="124"/>
      <c r="H245" s="124"/>
      <c r="I245" s="124"/>
      <c r="J245" s="123"/>
      <c r="K245" s="125"/>
      <c r="L245" s="125"/>
      <c r="M245" s="123"/>
      <c r="N245" s="126" t="str">
        <f aca="true">IF(OR(J245="",L245="Cerrado",L245="Cancelado"),"",MAX(0,TODAY()-J245))</f>
        <v/>
      </c>
      <c r="O245" s="124"/>
    </row>
    <row r="246" customFormat="false" ht="15" hidden="false" customHeight="false" outlineLevel="0" collapsed="false">
      <c r="A246" s="122" t="n">
        <v>237</v>
      </c>
      <c r="B246" s="123"/>
      <c r="C246" s="124"/>
      <c r="D246" s="125"/>
      <c r="E246" s="124"/>
      <c r="F246" s="124"/>
      <c r="G246" s="124"/>
      <c r="H246" s="124"/>
      <c r="I246" s="124"/>
      <c r="J246" s="123"/>
      <c r="K246" s="125"/>
      <c r="L246" s="125"/>
      <c r="M246" s="123"/>
      <c r="N246" s="126" t="str">
        <f aca="true">IF(OR(J246="",L246="Cerrado",L246="Cancelado"),"",MAX(0,TODAY()-J246))</f>
        <v/>
      </c>
      <c r="O246" s="124"/>
    </row>
    <row r="247" customFormat="false" ht="15" hidden="false" customHeight="false" outlineLevel="0" collapsed="false">
      <c r="A247" s="122" t="n">
        <v>238</v>
      </c>
      <c r="B247" s="123"/>
      <c r="C247" s="124"/>
      <c r="D247" s="125"/>
      <c r="E247" s="124"/>
      <c r="F247" s="124"/>
      <c r="G247" s="124"/>
      <c r="H247" s="124"/>
      <c r="I247" s="124"/>
      <c r="J247" s="123"/>
      <c r="K247" s="125"/>
      <c r="L247" s="125"/>
      <c r="M247" s="123"/>
      <c r="N247" s="126" t="str">
        <f aca="true">IF(OR(J247="",L247="Cerrado",L247="Cancelado"),"",MAX(0,TODAY()-J247))</f>
        <v/>
      </c>
      <c r="O247" s="124"/>
    </row>
    <row r="248" customFormat="false" ht="15" hidden="false" customHeight="false" outlineLevel="0" collapsed="false">
      <c r="A248" s="122" t="n">
        <v>239</v>
      </c>
      <c r="B248" s="123"/>
      <c r="C248" s="124"/>
      <c r="D248" s="125"/>
      <c r="E248" s="124"/>
      <c r="F248" s="124"/>
      <c r="G248" s="124"/>
      <c r="H248" s="124"/>
      <c r="I248" s="124"/>
      <c r="J248" s="123"/>
      <c r="K248" s="125"/>
      <c r="L248" s="125"/>
      <c r="M248" s="123"/>
      <c r="N248" s="126" t="str">
        <f aca="true">IF(OR(J248="",L248="Cerrado",L248="Cancelado"),"",MAX(0,TODAY()-J248))</f>
        <v/>
      </c>
      <c r="O248" s="124"/>
    </row>
    <row r="249" customFormat="false" ht="15" hidden="false" customHeight="false" outlineLevel="0" collapsed="false">
      <c r="A249" s="122" t="n">
        <v>240</v>
      </c>
      <c r="B249" s="123"/>
      <c r="C249" s="124"/>
      <c r="D249" s="125"/>
      <c r="E249" s="124"/>
      <c r="F249" s="124"/>
      <c r="G249" s="124"/>
      <c r="H249" s="124"/>
      <c r="I249" s="124"/>
      <c r="J249" s="123"/>
      <c r="K249" s="125"/>
      <c r="L249" s="125"/>
      <c r="M249" s="123"/>
      <c r="N249" s="126" t="str">
        <f aca="true">IF(OR(J249="",L249="Cerrado",L249="Cancelado"),"",MAX(0,TODAY()-J249))</f>
        <v/>
      </c>
      <c r="O249" s="124"/>
    </row>
    <row r="250" customFormat="false" ht="15" hidden="false" customHeight="false" outlineLevel="0" collapsed="false">
      <c r="A250" s="122" t="n">
        <v>241</v>
      </c>
      <c r="B250" s="123"/>
      <c r="C250" s="124"/>
      <c r="D250" s="125"/>
      <c r="E250" s="124"/>
      <c r="F250" s="124"/>
      <c r="G250" s="124"/>
      <c r="H250" s="124"/>
      <c r="I250" s="124"/>
      <c r="J250" s="123"/>
      <c r="K250" s="125"/>
      <c r="L250" s="125"/>
      <c r="M250" s="123"/>
      <c r="N250" s="126" t="str">
        <f aca="true">IF(OR(J250="",L250="Cerrado",L250="Cancelado"),"",MAX(0,TODAY()-J250))</f>
        <v/>
      </c>
      <c r="O250" s="124"/>
    </row>
    <row r="251" customFormat="false" ht="15" hidden="false" customHeight="false" outlineLevel="0" collapsed="false">
      <c r="A251" s="122" t="n">
        <v>242</v>
      </c>
      <c r="B251" s="123"/>
      <c r="C251" s="124"/>
      <c r="D251" s="125"/>
      <c r="E251" s="124"/>
      <c r="F251" s="124"/>
      <c r="G251" s="124"/>
      <c r="H251" s="124"/>
      <c r="I251" s="124"/>
      <c r="J251" s="123"/>
      <c r="K251" s="125"/>
      <c r="L251" s="125"/>
      <c r="M251" s="123"/>
      <c r="N251" s="126" t="str">
        <f aca="true">IF(OR(J251="",L251="Cerrado",L251="Cancelado"),"",MAX(0,TODAY()-J251))</f>
        <v/>
      </c>
      <c r="O251" s="124"/>
    </row>
    <row r="252" customFormat="false" ht="15" hidden="false" customHeight="false" outlineLevel="0" collapsed="false">
      <c r="A252" s="122" t="n">
        <v>243</v>
      </c>
      <c r="B252" s="123"/>
      <c r="C252" s="124"/>
      <c r="D252" s="125"/>
      <c r="E252" s="124"/>
      <c r="F252" s="124"/>
      <c r="G252" s="124"/>
      <c r="H252" s="124"/>
      <c r="I252" s="124"/>
      <c r="J252" s="123"/>
      <c r="K252" s="125"/>
      <c r="L252" s="125"/>
      <c r="M252" s="123"/>
      <c r="N252" s="126" t="str">
        <f aca="true">IF(OR(J252="",L252="Cerrado",L252="Cancelado"),"",MAX(0,TODAY()-J252))</f>
        <v/>
      </c>
      <c r="O252" s="124"/>
    </row>
    <row r="253" customFormat="false" ht="15" hidden="false" customHeight="false" outlineLevel="0" collapsed="false">
      <c r="A253" s="122" t="n">
        <v>244</v>
      </c>
      <c r="B253" s="123"/>
      <c r="C253" s="124"/>
      <c r="D253" s="125"/>
      <c r="E253" s="124"/>
      <c r="F253" s="124"/>
      <c r="G253" s="124"/>
      <c r="H253" s="124"/>
      <c r="I253" s="124"/>
      <c r="J253" s="123"/>
      <c r="K253" s="125"/>
      <c r="L253" s="125"/>
      <c r="M253" s="123"/>
      <c r="N253" s="126" t="str">
        <f aca="true">IF(OR(J253="",L253="Cerrado",L253="Cancelado"),"",MAX(0,TODAY()-J253))</f>
        <v/>
      </c>
      <c r="O253" s="124"/>
    </row>
    <row r="254" customFormat="false" ht="15" hidden="false" customHeight="false" outlineLevel="0" collapsed="false">
      <c r="A254" s="122" t="n">
        <v>245</v>
      </c>
      <c r="B254" s="123"/>
      <c r="C254" s="124"/>
      <c r="D254" s="125"/>
      <c r="E254" s="124"/>
      <c r="F254" s="124"/>
      <c r="G254" s="124"/>
      <c r="H254" s="124"/>
      <c r="I254" s="124"/>
      <c r="J254" s="123"/>
      <c r="K254" s="125"/>
      <c r="L254" s="125"/>
      <c r="M254" s="123"/>
      <c r="N254" s="126" t="str">
        <f aca="true">IF(OR(J254="",L254="Cerrado",L254="Cancelado"),"",MAX(0,TODAY()-J254))</f>
        <v/>
      </c>
      <c r="O254" s="124"/>
    </row>
    <row r="255" customFormat="false" ht="15" hidden="false" customHeight="false" outlineLevel="0" collapsed="false">
      <c r="A255" s="122" t="n">
        <v>246</v>
      </c>
      <c r="B255" s="123"/>
      <c r="C255" s="124"/>
      <c r="D255" s="125"/>
      <c r="E255" s="124"/>
      <c r="F255" s="124"/>
      <c r="G255" s="124"/>
      <c r="H255" s="124"/>
      <c r="I255" s="124"/>
      <c r="J255" s="123"/>
      <c r="K255" s="125"/>
      <c r="L255" s="125"/>
      <c r="M255" s="123"/>
      <c r="N255" s="126" t="str">
        <f aca="true">IF(OR(J255="",L255="Cerrado",L255="Cancelado"),"",MAX(0,TODAY()-J255))</f>
        <v/>
      </c>
      <c r="O255" s="124"/>
    </row>
    <row r="256" customFormat="false" ht="15" hidden="false" customHeight="false" outlineLevel="0" collapsed="false">
      <c r="A256" s="122" t="n">
        <v>247</v>
      </c>
      <c r="B256" s="123"/>
      <c r="C256" s="124"/>
      <c r="D256" s="125"/>
      <c r="E256" s="124"/>
      <c r="F256" s="124"/>
      <c r="G256" s="124"/>
      <c r="H256" s="124"/>
      <c r="I256" s="124"/>
      <c r="J256" s="123"/>
      <c r="K256" s="125"/>
      <c r="L256" s="125"/>
      <c r="M256" s="123"/>
      <c r="N256" s="126" t="str">
        <f aca="true">IF(OR(J256="",L256="Cerrado",L256="Cancelado"),"",MAX(0,TODAY()-J256))</f>
        <v/>
      </c>
      <c r="O256" s="124"/>
    </row>
    <row r="257" customFormat="false" ht="15" hidden="false" customHeight="false" outlineLevel="0" collapsed="false">
      <c r="A257" s="122" t="n">
        <v>248</v>
      </c>
      <c r="B257" s="123"/>
      <c r="C257" s="124"/>
      <c r="D257" s="125"/>
      <c r="E257" s="124"/>
      <c r="F257" s="124"/>
      <c r="G257" s="124"/>
      <c r="H257" s="124"/>
      <c r="I257" s="124"/>
      <c r="J257" s="123"/>
      <c r="K257" s="125"/>
      <c r="L257" s="125"/>
      <c r="M257" s="123"/>
      <c r="N257" s="126" t="str">
        <f aca="true">IF(OR(J257="",L257="Cerrado",L257="Cancelado"),"",MAX(0,TODAY()-J257))</f>
        <v/>
      </c>
      <c r="O257" s="124"/>
    </row>
    <row r="258" customFormat="false" ht="15" hidden="false" customHeight="false" outlineLevel="0" collapsed="false">
      <c r="A258" s="122" t="n">
        <v>249</v>
      </c>
      <c r="B258" s="123"/>
      <c r="C258" s="124"/>
      <c r="D258" s="125"/>
      <c r="E258" s="124"/>
      <c r="F258" s="124"/>
      <c r="G258" s="124"/>
      <c r="H258" s="124"/>
      <c r="I258" s="124"/>
      <c r="J258" s="123"/>
      <c r="K258" s="125"/>
      <c r="L258" s="125"/>
      <c r="M258" s="123"/>
      <c r="N258" s="126" t="str">
        <f aca="true">IF(OR(J258="",L258="Cerrado",L258="Cancelado"),"",MAX(0,TODAY()-J258))</f>
        <v/>
      </c>
      <c r="O258" s="124"/>
    </row>
    <row r="259" customFormat="false" ht="15" hidden="false" customHeight="false" outlineLevel="0" collapsed="false">
      <c r="A259" s="122" t="n">
        <v>250</v>
      </c>
      <c r="B259" s="123"/>
      <c r="C259" s="124"/>
      <c r="D259" s="125"/>
      <c r="E259" s="124"/>
      <c r="F259" s="124"/>
      <c r="G259" s="124"/>
      <c r="H259" s="124"/>
      <c r="I259" s="124"/>
      <c r="J259" s="123"/>
      <c r="K259" s="125"/>
      <c r="L259" s="125"/>
      <c r="M259" s="123"/>
      <c r="N259" s="126" t="str">
        <f aca="true">IF(OR(J259="",L259="Cerrado",L259="Cancelado"),"",MAX(0,TODAY()-J259))</f>
        <v/>
      </c>
      <c r="O259" s="124"/>
    </row>
    <row r="260" customFormat="false" ht="15" hidden="false" customHeight="false" outlineLevel="0" collapsed="false">
      <c r="A260" s="122" t="n">
        <v>251</v>
      </c>
      <c r="B260" s="123"/>
      <c r="C260" s="124"/>
      <c r="D260" s="125"/>
      <c r="E260" s="124"/>
      <c r="F260" s="124"/>
      <c r="G260" s="124"/>
      <c r="H260" s="124"/>
      <c r="I260" s="124"/>
      <c r="J260" s="123"/>
      <c r="K260" s="125"/>
      <c r="L260" s="125"/>
      <c r="M260" s="123"/>
      <c r="N260" s="126" t="str">
        <f aca="true">IF(OR(J260="",L260="Cerrado",L260="Cancelado"),"",MAX(0,TODAY()-J260))</f>
        <v/>
      </c>
      <c r="O260" s="124"/>
    </row>
    <row r="261" customFormat="false" ht="15" hidden="false" customHeight="false" outlineLevel="0" collapsed="false">
      <c r="A261" s="122" t="n">
        <v>252</v>
      </c>
      <c r="B261" s="123"/>
      <c r="C261" s="124"/>
      <c r="D261" s="125"/>
      <c r="E261" s="124"/>
      <c r="F261" s="124"/>
      <c r="G261" s="124"/>
      <c r="H261" s="124"/>
      <c r="I261" s="124"/>
      <c r="J261" s="123"/>
      <c r="K261" s="125"/>
      <c r="L261" s="125"/>
      <c r="M261" s="123"/>
      <c r="N261" s="126" t="str">
        <f aca="true">IF(OR(J261="",L261="Cerrado",L261="Cancelado"),"",MAX(0,TODAY()-J261))</f>
        <v/>
      </c>
      <c r="O261" s="124"/>
    </row>
    <row r="262" customFormat="false" ht="15" hidden="false" customHeight="false" outlineLevel="0" collapsed="false">
      <c r="A262" s="122" t="n">
        <v>253</v>
      </c>
      <c r="B262" s="123"/>
      <c r="C262" s="124"/>
      <c r="D262" s="125"/>
      <c r="E262" s="124"/>
      <c r="F262" s="124"/>
      <c r="G262" s="124"/>
      <c r="H262" s="124"/>
      <c r="I262" s="124"/>
      <c r="J262" s="123"/>
      <c r="K262" s="125"/>
      <c r="L262" s="125"/>
      <c r="M262" s="123"/>
      <c r="N262" s="126" t="str">
        <f aca="true">IF(OR(J262="",L262="Cerrado",L262="Cancelado"),"",MAX(0,TODAY()-J262))</f>
        <v/>
      </c>
      <c r="O262" s="124"/>
    </row>
    <row r="263" customFormat="false" ht="15" hidden="false" customHeight="false" outlineLevel="0" collapsed="false">
      <c r="A263" s="122" t="n">
        <v>254</v>
      </c>
      <c r="B263" s="123"/>
      <c r="C263" s="124"/>
      <c r="D263" s="125"/>
      <c r="E263" s="124"/>
      <c r="F263" s="124"/>
      <c r="G263" s="124"/>
      <c r="H263" s="124"/>
      <c r="I263" s="124"/>
      <c r="J263" s="123"/>
      <c r="K263" s="125"/>
      <c r="L263" s="125"/>
      <c r="M263" s="123"/>
      <c r="N263" s="126" t="str">
        <f aca="true">IF(OR(J263="",L263="Cerrado",L263="Cancelado"),"",MAX(0,TODAY()-J263))</f>
        <v/>
      </c>
      <c r="O263" s="124"/>
    </row>
    <row r="264" customFormat="false" ht="15" hidden="false" customHeight="false" outlineLevel="0" collapsed="false">
      <c r="A264" s="122" t="n">
        <v>255</v>
      </c>
      <c r="B264" s="123"/>
      <c r="C264" s="124"/>
      <c r="D264" s="125"/>
      <c r="E264" s="124"/>
      <c r="F264" s="124"/>
      <c r="G264" s="124"/>
      <c r="H264" s="124"/>
      <c r="I264" s="124"/>
      <c r="J264" s="123"/>
      <c r="K264" s="125"/>
      <c r="L264" s="125"/>
      <c r="M264" s="123"/>
      <c r="N264" s="126" t="str">
        <f aca="true">IF(OR(J264="",L264="Cerrado",L264="Cancelado"),"",MAX(0,TODAY()-J264))</f>
        <v/>
      </c>
      <c r="O264" s="124"/>
    </row>
    <row r="265" customFormat="false" ht="15" hidden="false" customHeight="false" outlineLevel="0" collapsed="false">
      <c r="A265" s="122" t="n">
        <v>256</v>
      </c>
      <c r="B265" s="123"/>
      <c r="C265" s="124"/>
      <c r="D265" s="125"/>
      <c r="E265" s="124"/>
      <c r="F265" s="124"/>
      <c r="G265" s="124"/>
      <c r="H265" s="124"/>
      <c r="I265" s="124"/>
      <c r="J265" s="123"/>
      <c r="K265" s="125"/>
      <c r="L265" s="125"/>
      <c r="M265" s="123"/>
      <c r="N265" s="126" t="str">
        <f aca="true">IF(OR(J265="",L265="Cerrado",L265="Cancelado"),"",MAX(0,TODAY()-J265))</f>
        <v/>
      </c>
      <c r="O265" s="124"/>
    </row>
    <row r="266" customFormat="false" ht="15" hidden="false" customHeight="false" outlineLevel="0" collapsed="false">
      <c r="A266" s="122" t="n">
        <v>257</v>
      </c>
      <c r="B266" s="123"/>
      <c r="C266" s="124"/>
      <c r="D266" s="125"/>
      <c r="E266" s="124"/>
      <c r="F266" s="124"/>
      <c r="G266" s="124"/>
      <c r="H266" s="124"/>
      <c r="I266" s="124"/>
      <c r="J266" s="123"/>
      <c r="K266" s="125"/>
      <c r="L266" s="125"/>
      <c r="M266" s="123"/>
      <c r="N266" s="126" t="str">
        <f aca="true">IF(OR(J266="",L266="Cerrado",L266="Cancelado"),"",MAX(0,TODAY()-J266))</f>
        <v/>
      </c>
      <c r="O266" s="124"/>
    </row>
    <row r="267" customFormat="false" ht="15" hidden="false" customHeight="false" outlineLevel="0" collapsed="false">
      <c r="A267" s="122" t="n">
        <v>258</v>
      </c>
      <c r="B267" s="123"/>
      <c r="C267" s="124"/>
      <c r="D267" s="125"/>
      <c r="E267" s="124"/>
      <c r="F267" s="124"/>
      <c r="G267" s="124"/>
      <c r="H267" s="124"/>
      <c r="I267" s="124"/>
      <c r="J267" s="123"/>
      <c r="K267" s="125"/>
      <c r="L267" s="125"/>
      <c r="M267" s="123"/>
      <c r="N267" s="126" t="str">
        <f aca="true">IF(OR(J267="",L267="Cerrado",L267="Cancelado"),"",MAX(0,TODAY()-J267))</f>
        <v/>
      </c>
      <c r="O267" s="124"/>
    </row>
    <row r="268" customFormat="false" ht="15" hidden="false" customHeight="false" outlineLevel="0" collapsed="false">
      <c r="A268" s="122" t="n">
        <v>259</v>
      </c>
      <c r="B268" s="123"/>
      <c r="C268" s="124"/>
      <c r="D268" s="125"/>
      <c r="E268" s="124"/>
      <c r="F268" s="124"/>
      <c r="G268" s="124"/>
      <c r="H268" s="124"/>
      <c r="I268" s="124"/>
      <c r="J268" s="123"/>
      <c r="K268" s="125"/>
      <c r="L268" s="125"/>
      <c r="M268" s="123"/>
      <c r="N268" s="126" t="str">
        <f aca="true">IF(OR(J268="",L268="Cerrado",L268="Cancelado"),"",MAX(0,TODAY()-J268))</f>
        <v/>
      </c>
      <c r="O268" s="124"/>
    </row>
    <row r="269" customFormat="false" ht="15" hidden="false" customHeight="false" outlineLevel="0" collapsed="false">
      <c r="A269" s="122" t="n">
        <v>260</v>
      </c>
      <c r="B269" s="123"/>
      <c r="C269" s="124"/>
      <c r="D269" s="125"/>
      <c r="E269" s="124"/>
      <c r="F269" s="124"/>
      <c r="G269" s="124"/>
      <c r="H269" s="124"/>
      <c r="I269" s="124"/>
      <c r="J269" s="123"/>
      <c r="K269" s="125"/>
      <c r="L269" s="125"/>
      <c r="M269" s="123"/>
      <c r="N269" s="126" t="str">
        <f aca="true">IF(OR(J269="",L269="Cerrado",L269="Cancelado"),"",MAX(0,TODAY()-J269))</f>
        <v/>
      </c>
      <c r="O269" s="124"/>
    </row>
    <row r="270" customFormat="false" ht="15" hidden="false" customHeight="false" outlineLevel="0" collapsed="false">
      <c r="A270" s="122" t="n">
        <v>261</v>
      </c>
      <c r="B270" s="123"/>
      <c r="C270" s="124"/>
      <c r="D270" s="125"/>
      <c r="E270" s="124"/>
      <c r="F270" s="124"/>
      <c r="G270" s="124"/>
      <c r="H270" s="124"/>
      <c r="I270" s="124"/>
      <c r="J270" s="123"/>
      <c r="K270" s="125"/>
      <c r="L270" s="125"/>
      <c r="M270" s="123"/>
      <c r="N270" s="126" t="str">
        <f aca="true">IF(OR(J270="",L270="Cerrado",L270="Cancelado"),"",MAX(0,TODAY()-J270))</f>
        <v/>
      </c>
      <c r="O270" s="124"/>
    </row>
    <row r="271" customFormat="false" ht="15" hidden="false" customHeight="false" outlineLevel="0" collapsed="false">
      <c r="A271" s="122" t="n">
        <v>262</v>
      </c>
      <c r="B271" s="123"/>
      <c r="C271" s="124"/>
      <c r="D271" s="125"/>
      <c r="E271" s="124"/>
      <c r="F271" s="124"/>
      <c r="G271" s="124"/>
      <c r="H271" s="124"/>
      <c r="I271" s="124"/>
      <c r="J271" s="123"/>
      <c r="K271" s="125"/>
      <c r="L271" s="125"/>
      <c r="M271" s="123"/>
      <c r="N271" s="126" t="str">
        <f aca="true">IF(OR(J271="",L271="Cerrado",L271="Cancelado"),"",MAX(0,TODAY()-J271))</f>
        <v/>
      </c>
      <c r="O271" s="124"/>
    </row>
    <row r="272" customFormat="false" ht="15" hidden="false" customHeight="false" outlineLevel="0" collapsed="false">
      <c r="A272" s="122" t="n">
        <v>263</v>
      </c>
      <c r="B272" s="123"/>
      <c r="C272" s="124"/>
      <c r="D272" s="125"/>
      <c r="E272" s="124"/>
      <c r="F272" s="124"/>
      <c r="G272" s="124"/>
      <c r="H272" s="124"/>
      <c r="I272" s="124"/>
      <c r="J272" s="123"/>
      <c r="K272" s="125"/>
      <c r="L272" s="125"/>
      <c r="M272" s="123"/>
      <c r="N272" s="126" t="str">
        <f aca="true">IF(OR(J272="",L272="Cerrado",L272="Cancelado"),"",MAX(0,TODAY()-J272))</f>
        <v/>
      </c>
      <c r="O272" s="124"/>
    </row>
    <row r="273" customFormat="false" ht="15" hidden="false" customHeight="false" outlineLevel="0" collapsed="false">
      <c r="A273" s="122" t="n">
        <v>264</v>
      </c>
      <c r="B273" s="123"/>
      <c r="C273" s="124"/>
      <c r="D273" s="125"/>
      <c r="E273" s="124"/>
      <c r="F273" s="124"/>
      <c r="G273" s="124"/>
      <c r="H273" s="124"/>
      <c r="I273" s="124"/>
      <c r="J273" s="123"/>
      <c r="K273" s="125"/>
      <c r="L273" s="125"/>
      <c r="M273" s="123"/>
      <c r="N273" s="126" t="str">
        <f aca="true">IF(OR(J273="",L273="Cerrado",L273="Cancelado"),"",MAX(0,TODAY()-J273))</f>
        <v/>
      </c>
      <c r="O273" s="124"/>
    </row>
    <row r="274" customFormat="false" ht="15" hidden="false" customHeight="false" outlineLevel="0" collapsed="false">
      <c r="A274" s="122" t="n">
        <v>265</v>
      </c>
      <c r="B274" s="123"/>
      <c r="C274" s="124"/>
      <c r="D274" s="125"/>
      <c r="E274" s="124"/>
      <c r="F274" s="124"/>
      <c r="G274" s="124"/>
      <c r="H274" s="124"/>
      <c r="I274" s="124"/>
      <c r="J274" s="123"/>
      <c r="K274" s="125"/>
      <c r="L274" s="125"/>
      <c r="M274" s="123"/>
      <c r="N274" s="126" t="str">
        <f aca="true">IF(OR(J274="",L274="Cerrado",L274="Cancelado"),"",MAX(0,TODAY()-J274))</f>
        <v/>
      </c>
      <c r="O274" s="124"/>
    </row>
    <row r="275" customFormat="false" ht="15" hidden="false" customHeight="false" outlineLevel="0" collapsed="false">
      <c r="A275" s="122" t="n">
        <v>266</v>
      </c>
      <c r="B275" s="123"/>
      <c r="C275" s="124"/>
      <c r="D275" s="125"/>
      <c r="E275" s="124"/>
      <c r="F275" s="124"/>
      <c r="G275" s="124"/>
      <c r="H275" s="124"/>
      <c r="I275" s="124"/>
      <c r="J275" s="123"/>
      <c r="K275" s="125"/>
      <c r="L275" s="125"/>
      <c r="M275" s="123"/>
      <c r="N275" s="126" t="str">
        <f aca="true">IF(OR(J275="",L275="Cerrado",L275="Cancelado"),"",MAX(0,TODAY()-J275))</f>
        <v/>
      </c>
      <c r="O275" s="124"/>
    </row>
    <row r="276" customFormat="false" ht="15" hidden="false" customHeight="false" outlineLevel="0" collapsed="false">
      <c r="A276" s="122" t="n">
        <v>267</v>
      </c>
      <c r="B276" s="123"/>
      <c r="C276" s="124"/>
      <c r="D276" s="125"/>
      <c r="E276" s="124"/>
      <c r="F276" s="124"/>
      <c r="G276" s="124"/>
      <c r="H276" s="124"/>
      <c r="I276" s="124"/>
      <c r="J276" s="123"/>
      <c r="K276" s="125"/>
      <c r="L276" s="125"/>
      <c r="M276" s="123"/>
      <c r="N276" s="126" t="str">
        <f aca="true">IF(OR(J276="",L276="Cerrado",L276="Cancelado"),"",MAX(0,TODAY()-J276))</f>
        <v/>
      </c>
      <c r="O276" s="124"/>
    </row>
    <row r="277" customFormat="false" ht="15" hidden="false" customHeight="false" outlineLevel="0" collapsed="false">
      <c r="A277" s="122" t="n">
        <v>268</v>
      </c>
      <c r="B277" s="123"/>
      <c r="C277" s="124"/>
      <c r="D277" s="125"/>
      <c r="E277" s="124"/>
      <c r="F277" s="124"/>
      <c r="G277" s="124"/>
      <c r="H277" s="124"/>
      <c r="I277" s="124"/>
      <c r="J277" s="123"/>
      <c r="K277" s="125"/>
      <c r="L277" s="125"/>
      <c r="M277" s="123"/>
      <c r="N277" s="126" t="str">
        <f aca="true">IF(OR(J277="",L277="Cerrado",L277="Cancelado"),"",MAX(0,TODAY()-J277))</f>
        <v/>
      </c>
      <c r="O277" s="124"/>
    </row>
    <row r="278" customFormat="false" ht="15" hidden="false" customHeight="false" outlineLevel="0" collapsed="false">
      <c r="A278" s="122" t="n">
        <v>269</v>
      </c>
      <c r="B278" s="123"/>
      <c r="C278" s="124"/>
      <c r="D278" s="125"/>
      <c r="E278" s="124"/>
      <c r="F278" s="124"/>
      <c r="G278" s="124"/>
      <c r="H278" s="124"/>
      <c r="I278" s="124"/>
      <c r="J278" s="123"/>
      <c r="K278" s="125"/>
      <c r="L278" s="125"/>
      <c r="M278" s="123"/>
      <c r="N278" s="126" t="str">
        <f aca="true">IF(OR(J278="",L278="Cerrado",L278="Cancelado"),"",MAX(0,TODAY()-J278))</f>
        <v/>
      </c>
      <c r="O278" s="124"/>
    </row>
    <row r="279" customFormat="false" ht="15" hidden="false" customHeight="false" outlineLevel="0" collapsed="false">
      <c r="A279" s="122" t="n">
        <v>270</v>
      </c>
      <c r="B279" s="123"/>
      <c r="C279" s="124"/>
      <c r="D279" s="125"/>
      <c r="E279" s="124"/>
      <c r="F279" s="124"/>
      <c r="G279" s="124"/>
      <c r="H279" s="124"/>
      <c r="I279" s="124"/>
      <c r="J279" s="123"/>
      <c r="K279" s="125"/>
      <c r="L279" s="125"/>
      <c r="M279" s="123"/>
      <c r="N279" s="126" t="str">
        <f aca="true">IF(OR(J279="",L279="Cerrado",L279="Cancelado"),"",MAX(0,TODAY()-J279))</f>
        <v/>
      </c>
      <c r="O279" s="124"/>
    </row>
    <row r="280" customFormat="false" ht="15" hidden="false" customHeight="false" outlineLevel="0" collapsed="false">
      <c r="A280" s="122" t="n">
        <v>271</v>
      </c>
      <c r="B280" s="123"/>
      <c r="C280" s="124"/>
      <c r="D280" s="125"/>
      <c r="E280" s="124"/>
      <c r="F280" s="124"/>
      <c r="G280" s="124"/>
      <c r="H280" s="124"/>
      <c r="I280" s="124"/>
      <c r="J280" s="123"/>
      <c r="K280" s="125"/>
      <c r="L280" s="125"/>
      <c r="M280" s="123"/>
      <c r="N280" s="126" t="str">
        <f aca="true">IF(OR(J280="",L280="Cerrado",L280="Cancelado"),"",MAX(0,TODAY()-J280))</f>
        <v/>
      </c>
      <c r="O280" s="124"/>
    </row>
    <row r="281" customFormat="false" ht="15" hidden="false" customHeight="false" outlineLevel="0" collapsed="false">
      <c r="A281" s="122" t="n">
        <v>272</v>
      </c>
      <c r="B281" s="123"/>
      <c r="C281" s="124"/>
      <c r="D281" s="125"/>
      <c r="E281" s="124"/>
      <c r="F281" s="124"/>
      <c r="G281" s="124"/>
      <c r="H281" s="124"/>
      <c r="I281" s="124"/>
      <c r="J281" s="123"/>
      <c r="K281" s="125"/>
      <c r="L281" s="125"/>
      <c r="M281" s="123"/>
      <c r="N281" s="126" t="str">
        <f aca="true">IF(OR(J281="",L281="Cerrado",L281="Cancelado"),"",MAX(0,TODAY()-J281))</f>
        <v/>
      </c>
      <c r="O281" s="124"/>
    </row>
    <row r="282" customFormat="false" ht="15" hidden="false" customHeight="false" outlineLevel="0" collapsed="false">
      <c r="A282" s="122" t="n">
        <v>273</v>
      </c>
      <c r="B282" s="123"/>
      <c r="C282" s="124"/>
      <c r="D282" s="125"/>
      <c r="E282" s="124"/>
      <c r="F282" s="124"/>
      <c r="G282" s="124"/>
      <c r="H282" s="124"/>
      <c r="I282" s="124"/>
      <c r="J282" s="123"/>
      <c r="K282" s="125"/>
      <c r="L282" s="125"/>
      <c r="M282" s="123"/>
      <c r="N282" s="126" t="str">
        <f aca="true">IF(OR(J282="",L282="Cerrado",L282="Cancelado"),"",MAX(0,TODAY()-J282))</f>
        <v/>
      </c>
      <c r="O282" s="124"/>
    </row>
    <row r="283" customFormat="false" ht="15" hidden="false" customHeight="false" outlineLevel="0" collapsed="false">
      <c r="A283" s="122" t="n">
        <v>274</v>
      </c>
      <c r="B283" s="123"/>
      <c r="C283" s="124"/>
      <c r="D283" s="125"/>
      <c r="E283" s="124"/>
      <c r="F283" s="124"/>
      <c r="G283" s="124"/>
      <c r="H283" s="124"/>
      <c r="I283" s="124"/>
      <c r="J283" s="123"/>
      <c r="K283" s="125"/>
      <c r="L283" s="125"/>
      <c r="M283" s="123"/>
      <c r="N283" s="126" t="str">
        <f aca="true">IF(OR(J283="",L283="Cerrado",L283="Cancelado"),"",MAX(0,TODAY()-J283))</f>
        <v/>
      </c>
      <c r="O283" s="124"/>
    </row>
    <row r="284" customFormat="false" ht="15" hidden="false" customHeight="false" outlineLevel="0" collapsed="false">
      <c r="A284" s="122" t="n">
        <v>275</v>
      </c>
      <c r="B284" s="123"/>
      <c r="C284" s="124"/>
      <c r="D284" s="125"/>
      <c r="E284" s="124"/>
      <c r="F284" s="124"/>
      <c r="G284" s="124"/>
      <c r="H284" s="124"/>
      <c r="I284" s="124"/>
      <c r="J284" s="123"/>
      <c r="K284" s="125"/>
      <c r="L284" s="125"/>
      <c r="M284" s="123"/>
      <c r="N284" s="126" t="str">
        <f aca="true">IF(OR(J284="",L284="Cerrado",L284="Cancelado"),"",MAX(0,TODAY()-J284))</f>
        <v/>
      </c>
      <c r="O284" s="124"/>
    </row>
    <row r="285" customFormat="false" ht="15" hidden="false" customHeight="false" outlineLevel="0" collapsed="false">
      <c r="A285" s="122" t="n">
        <v>276</v>
      </c>
      <c r="B285" s="123"/>
      <c r="C285" s="124"/>
      <c r="D285" s="125"/>
      <c r="E285" s="124"/>
      <c r="F285" s="124"/>
      <c r="G285" s="124"/>
      <c r="H285" s="124"/>
      <c r="I285" s="124"/>
      <c r="J285" s="123"/>
      <c r="K285" s="125"/>
      <c r="L285" s="125"/>
      <c r="M285" s="123"/>
      <c r="N285" s="126" t="str">
        <f aca="true">IF(OR(J285="",L285="Cerrado",L285="Cancelado"),"",MAX(0,TODAY()-J285))</f>
        <v/>
      </c>
      <c r="O285" s="124"/>
    </row>
    <row r="286" customFormat="false" ht="15" hidden="false" customHeight="false" outlineLevel="0" collapsed="false">
      <c r="A286" s="122" t="n">
        <v>277</v>
      </c>
      <c r="B286" s="123"/>
      <c r="C286" s="124"/>
      <c r="D286" s="125"/>
      <c r="E286" s="124"/>
      <c r="F286" s="124"/>
      <c r="G286" s="124"/>
      <c r="H286" s="124"/>
      <c r="I286" s="124"/>
      <c r="J286" s="123"/>
      <c r="K286" s="125"/>
      <c r="L286" s="125"/>
      <c r="M286" s="123"/>
      <c r="N286" s="126" t="str">
        <f aca="true">IF(OR(J286="",L286="Cerrado",L286="Cancelado"),"",MAX(0,TODAY()-J286))</f>
        <v/>
      </c>
      <c r="O286" s="124"/>
    </row>
    <row r="287" customFormat="false" ht="15" hidden="false" customHeight="false" outlineLevel="0" collapsed="false">
      <c r="A287" s="122" t="n">
        <v>278</v>
      </c>
      <c r="B287" s="123"/>
      <c r="C287" s="124"/>
      <c r="D287" s="125"/>
      <c r="E287" s="124"/>
      <c r="F287" s="124"/>
      <c r="G287" s="124"/>
      <c r="H287" s="124"/>
      <c r="I287" s="124"/>
      <c r="J287" s="123"/>
      <c r="K287" s="125"/>
      <c r="L287" s="125"/>
      <c r="M287" s="123"/>
      <c r="N287" s="126" t="str">
        <f aca="true">IF(OR(J287="",L287="Cerrado",L287="Cancelado"),"",MAX(0,TODAY()-J287))</f>
        <v/>
      </c>
      <c r="O287" s="124"/>
    </row>
    <row r="288" customFormat="false" ht="15" hidden="false" customHeight="false" outlineLevel="0" collapsed="false">
      <c r="A288" s="122" t="n">
        <v>279</v>
      </c>
      <c r="B288" s="123"/>
      <c r="C288" s="124"/>
      <c r="D288" s="125"/>
      <c r="E288" s="124"/>
      <c r="F288" s="124"/>
      <c r="G288" s="124"/>
      <c r="H288" s="124"/>
      <c r="I288" s="124"/>
      <c r="J288" s="123"/>
      <c r="K288" s="125"/>
      <c r="L288" s="125"/>
      <c r="M288" s="123"/>
      <c r="N288" s="126" t="str">
        <f aca="true">IF(OR(J288="",L288="Cerrado",L288="Cancelado"),"",MAX(0,TODAY()-J288))</f>
        <v/>
      </c>
      <c r="O288" s="124"/>
    </row>
    <row r="289" customFormat="false" ht="15" hidden="false" customHeight="false" outlineLevel="0" collapsed="false">
      <c r="A289" s="122" t="n">
        <v>280</v>
      </c>
      <c r="B289" s="123"/>
      <c r="C289" s="124"/>
      <c r="D289" s="125"/>
      <c r="E289" s="124"/>
      <c r="F289" s="124"/>
      <c r="G289" s="124"/>
      <c r="H289" s="124"/>
      <c r="I289" s="124"/>
      <c r="J289" s="123"/>
      <c r="K289" s="125"/>
      <c r="L289" s="125"/>
      <c r="M289" s="123"/>
      <c r="N289" s="126" t="str">
        <f aca="true">IF(OR(J289="",L289="Cerrado",L289="Cancelado"),"",MAX(0,TODAY()-J289))</f>
        <v/>
      </c>
      <c r="O289" s="124"/>
    </row>
    <row r="290" customFormat="false" ht="15" hidden="false" customHeight="false" outlineLevel="0" collapsed="false">
      <c r="A290" s="122" t="n">
        <v>281</v>
      </c>
      <c r="B290" s="123"/>
      <c r="C290" s="124"/>
      <c r="D290" s="125"/>
      <c r="E290" s="124"/>
      <c r="F290" s="124"/>
      <c r="G290" s="124"/>
      <c r="H290" s="124"/>
      <c r="I290" s="124"/>
      <c r="J290" s="123"/>
      <c r="K290" s="125"/>
      <c r="L290" s="125"/>
      <c r="M290" s="123"/>
      <c r="N290" s="126" t="str">
        <f aca="true">IF(OR(J290="",L290="Cerrado",L290="Cancelado"),"",MAX(0,TODAY()-J290))</f>
        <v/>
      </c>
      <c r="O290" s="124"/>
    </row>
    <row r="291" customFormat="false" ht="15" hidden="false" customHeight="false" outlineLevel="0" collapsed="false">
      <c r="A291" s="122" t="n">
        <v>282</v>
      </c>
      <c r="B291" s="123"/>
      <c r="C291" s="124"/>
      <c r="D291" s="125"/>
      <c r="E291" s="124"/>
      <c r="F291" s="124"/>
      <c r="G291" s="124"/>
      <c r="H291" s="124"/>
      <c r="I291" s="124"/>
      <c r="J291" s="123"/>
      <c r="K291" s="125"/>
      <c r="L291" s="125"/>
      <c r="M291" s="123"/>
      <c r="N291" s="126" t="str">
        <f aca="true">IF(OR(J291="",L291="Cerrado",L291="Cancelado"),"",MAX(0,TODAY()-J291))</f>
        <v/>
      </c>
      <c r="O291" s="124"/>
    </row>
    <row r="292" customFormat="false" ht="15" hidden="false" customHeight="false" outlineLevel="0" collapsed="false">
      <c r="A292" s="122" t="n">
        <v>283</v>
      </c>
      <c r="B292" s="123"/>
      <c r="C292" s="124"/>
      <c r="D292" s="125"/>
      <c r="E292" s="124"/>
      <c r="F292" s="124"/>
      <c r="G292" s="124"/>
      <c r="H292" s="124"/>
      <c r="I292" s="124"/>
      <c r="J292" s="123"/>
      <c r="K292" s="125"/>
      <c r="L292" s="125"/>
      <c r="M292" s="123"/>
      <c r="N292" s="126" t="str">
        <f aca="true">IF(OR(J292="",L292="Cerrado",L292="Cancelado"),"",MAX(0,TODAY()-J292))</f>
        <v/>
      </c>
      <c r="O292" s="124"/>
    </row>
    <row r="293" customFormat="false" ht="15" hidden="false" customHeight="false" outlineLevel="0" collapsed="false">
      <c r="A293" s="122" t="n">
        <v>284</v>
      </c>
      <c r="B293" s="123"/>
      <c r="C293" s="124"/>
      <c r="D293" s="125"/>
      <c r="E293" s="124"/>
      <c r="F293" s="124"/>
      <c r="G293" s="124"/>
      <c r="H293" s="124"/>
      <c r="I293" s="124"/>
      <c r="J293" s="123"/>
      <c r="K293" s="125"/>
      <c r="L293" s="125"/>
      <c r="M293" s="123"/>
      <c r="N293" s="126" t="str">
        <f aca="true">IF(OR(J293="",L293="Cerrado",L293="Cancelado"),"",MAX(0,TODAY()-J293))</f>
        <v/>
      </c>
      <c r="O293" s="124"/>
    </row>
    <row r="294" customFormat="false" ht="15" hidden="false" customHeight="false" outlineLevel="0" collapsed="false">
      <c r="A294" s="122" t="n">
        <v>285</v>
      </c>
      <c r="B294" s="123"/>
      <c r="C294" s="124"/>
      <c r="D294" s="125"/>
      <c r="E294" s="124"/>
      <c r="F294" s="124"/>
      <c r="G294" s="124"/>
      <c r="H294" s="124"/>
      <c r="I294" s="124"/>
      <c r="J294" s="123"/>
      <c r="K294" s="125"/>
      <c r="L294" s="125"/>
      <c r="M294" s="123"/>
      <c r="N294" s="126" t="str">
        <f aca="true">IF(OR(J294="",L294="Cerrado",L294="Cancelado"),"",MAX(0,TODAY()-J294))</f>
        <v/>
      </c>
      <c r="O294" s="124"/>
    </row>
    <row r="295" customFormat="false" ht="15" hidden="false" customHeight="false" outlineLevel="0" collapsed="false">
      <c r="A295" s="122" t="n">
        <v>286</v>
      </c>
      <c r="B295" s="123"/>
      <c r="C295" s="124"/>
      <c r="D295" s="125"/>
      <c r="E295" s="124"/>
      <c r="F295" s="124"/>
      <c r="G295" s="124"/>
      <c r="H295" s="124"/>
      <c r="I295" s="124"/>
      <c r="J295" s="123"/>
      <c r="K295" s="125"/>
      <c r="L295" s="125"/>
      <c r="M295" s="123"/>
      <c r="N295" s="126" t="str">
        <f aca="true">IF(OR(J295="",L295="Cerrado",L295="Cancelado"),"",MAX(0,TODAY()-J295))</f>
        <v/>
      </c>
      <c r="O295" s="124"/>
    </row>
    <row r="296" customFormat="false" ht="15" hidden="false" customHeight="false" outlineLevel="0" collapsed="false">
      <c r="A296" s="122" t="n">
        <v>287</v>
      </c>
      <c r="B296" s="123"/>
      <c r="C296" s="124"/>
      <c r="D296" s="125"/>
      <c r="E296" s="124"/>
      <c r="F296" s="124"/>
      <c r="G296" s="124"/>
      <c r="H296" s="124"/>
      <c r="I296" s="124"/>
      <c r="J296" s="123"/>
      <c r="K296" s="125"/>
      <c r="L296" s="125"/>
      <c r="M296" s="123"/>
      <c r="N296" s="126" t="str">
        <f aca="true">IF(OR(J296="",L296="Cerrado",L296="Cancelado"),"",MAX(0,TODAY()-J296))</f>
        <v/>
      </c>
      <c r="O296" s="124"/>
    </row>
    <row r="297" customFormat="false" ht="15" hidden="false" customHeight="false" outlineLevel="0" collapsed="false">
      <c r="A297" s="122" t="n">
        <v>288</v>
      </c>
      <c r="B297" s="123"/>
      <c r="C297" s="124"/>
      <c r="D297" s="125"/>
      <c r="E297" s="124"/>
      <c r="F297" s="124"/>
      <c r="G297" s="124"/>
      <c r="H297" s="124"/>
      <c r="I297" s="124"/>
      <c r="J297" s="123"/>
      <c r="K297" s="125"/>
      <c r="L297" s="125"/>
      <c r="M297" s="123"/>
      <c r="N297" s="126" t="str">
        <f aca="true">IF(OR(J297="",L297="Cerrado",L297="Cancelado"),"",MAX(0,TODAY()-J297))</f>
        <v/>
      </c>
      <c r="O297" s="124"/>
    </row>
    <row r="298" customFormat="false" ht="15" hidden="false" customHeight="false" outlineLevel="0" collapsed="false">
      <c r="A298" s="122" t="n">
        <v>289</v>
      </c>
      <c r="B298" s="123"/>
      <c r="C298" s="124"/>
      <c r="D298" s="125"/>
      <c r="E298" s="124"/>
      <c r="F298" s="124"/>
      <c r="G298" s="124"/>
      <c r="H298" s="124"/>
      <c r="I298" s="124"/>
      <c r="J298" s="123"/>
      <c r="K298" s="125"/>
      <c r="L298" s="125"/>
      <c r="M298" s="123"/>
      <c r="N298" s="126" t="str">
        <f aca="true">IF(OR(J298="",L298="Cerrado",L298="Cancelado"),"",MAX(0,TODAY()-J298))</f>
        <v/>
      </c>
      <c r="O298" s="124"/>
    </row>
    <row r="299" customFormat="false" ht="15" hidden="false" customHeight="false" outlineLevel="0" collapsed="false">
      <c r="A299" s="122" t="n">
        <v>290</v>
      </c>
      <c r="B299" s="123"/>
      <c r="C299" s="124"/>
      <c r="D299" s="125"/>
      <c r="E299" s="124"/>
      <c r="F299" s="124"/>
      <c r="G299" s="124"/>
      <c r="H299" s="124"/>
      <c r="I299" s="124"/>
      <c r="J299" s="123"/>
      <c r="K299" s="125"/>
      <c r="L299" s="125"/>
      <c r="M299" s="123"/>
      <c r="N299" s="126" t="str">
        <f aca="true">IF(OR(J299="",L299="Cerrado",L299="Cancelado"),"",MAX(0,TODAY()-J299))</f>
        <v/>
      </c>
      <c r="O299" s="124"/>
    </row>
    <row r="300" customFormat="false" ht="15" hidden="false" customHeight="false" outlineLevel="0" collapsed="false">
      <c r="A300" s="122" t="n">
        <v>291</v>
      </c>
      <c r="B300" s="123"/>
      <c r="C300" s="124"/>
      <c r="D300" s="125"/>
      <c r="E300" s="124"/>
      <c r="F300" s="124"/>
      <c r="G300" s="124"/>
      <c r="H300" s="124"/>
      <c r="I300" s="124"/>
      <c r="J300" s="123"/>
      <c r="K300" s="125"/>
      <c r="L300" s="125"/>
      <c r="M300" s="123"/>
      <c r="N300" s="126" t="str">
        <f aca="true">IF(OR(J300="",L300="Cerrado",L300="Cancelado"),"",MAX(0,TODAY()-J300))</f>
        <v/>
      </c>
      <c r="O300" s="124"/>
    </row>
    <row r="301" customFormat="false" ht="15" hidden="false" customHeight="false" outlineLevel="0" collapsed="false">
      <c r="A301" s="122" t="n">
        <v>292</v>
      </c>
      <c r="B301" s="123"/>
      <c r="C301" s="124"/>
      <c r="D301" s="125"/>
      <c r="E301" s="124"/>
      <c r="F301" s="124"/>
      <c r="G301" s="124"/>
      <c r="H301" s="124"/>
      <c r="I301" s="124"/>
      <c r="J301" s="123"/>
      <c r="K301" s="125"/>
      <c r="L301" s="125"/>
      <c r="M301" s="123"/>
      <c r="N301" s="126" t="str">
        <f aca="true">IF(OR(J301="",L301="Cerrado",L301="Cancelado"),"",MAX(0,TODAY()-J301))</f>
        <v/>
      </c>
      <c r="O301" s="124"/>
    </row>
    <row r="302" customFormat="false" ht="15" hidden="false" customHeight="false" outlineLevel="0" collapsed="false">
      <c r="A302" s="122" t="n">
        <v>293</v>
      </c>
      <c r="B302" s="123"/>
      <c r="C302" s="124"/>
      <c r="D302" s="125"/>
      <c r="E302" s="124"/>
      <c r="F302" s="124"/>
      <c r="G302" s="124"/>
      <c r="H302" s="124"/>
      <c r="I302" s="124"/>
      <c r="J302" s="123"/>
      <c r="K302" s="125"/>
      <c r="L302" s="125"/>
      <c r="M302" s="123"/>
      <c r="N302" s="126" t="str">
        <f aca="true">IF(OR(J302="",L302="Cerrado",L302="Cancelado"),"",MAX(0,TODAY()-J302))</f>
        <v/>
      </c>
      <c r="O302" s="124"/>
    </row>
    <row r="303" customFormat="false" ht="15" hidden="false" customHeight="false" outlineLevel="0" collapsed="false">
      <c r="A303" s="122" t="n">
        <v>294</v>
      </c>
      <c r="B303" s="123"/>
      <c r="C303" s="124"/>
      <c r="D303" s="125"/>
      <c r="E303" s="124"/>
      <c r="F303" s="124"/>
      <c r="G303" s="124"/>
      <c r="H303" s="124"/>
      <c r="I303" s="124"/>
      <c r="J303" s="123"/>
      <c r="K303" s="125"/>
      <c r="L303" s="125"/>
      <c r="M303" s="123"/>
      <c r="N303" s="126" t="str">
        <f aca="true">IF(OR(J303="",L303="Cerrado",L303="Cancelado"),"",MAX(0,TODAY()-J303))</f>
        <v/>
      </c>
      <c r="O303" s="124"/>
    </row>
    <row r="304" customFormat="false" ht="15" hidden="false" customHeight="false" outlineLevel="0" collapsed="false">
      <c r="A304" s="122" t="n">
        <v>295</v>
      </c>
      <c r="B304" s="123"/>
      <c r="C304" s="124"/>
      <c r="D304" s="125"/>
      <c r="E304" s="124"/>
      <c r="F304" s="124"/>
      <c r="G304" s="124"/>
      <c r="H304" s="124"/>
      <c r="I304" s="124"/>
      <c r="J304" s="123"/>
      <c r="K304" s="125"/>
      <c r="L304" s="125"/>
      <c r="M304" s="123"/>
      <c r="N304" s="126" t="str">
        <f aca="true">IF(OR(J304="",L304="Cerrado",L304="Cancelado"),"",MAX(0,TODAY()-J304))</f>
        <v/>
      </c>
      <c r="O304" s="124"/>
    </row>
    <row r="305" customFormat="false" ht="15" hidden="false" customHeight="false" outlineLevel="0" collapsed="false">
      <c r="A305" s="122" t="n">
        <v>296</v>
      </c>
      <c r="B305" s="123"/>
      <c r="C305" s="124"/>
      <c r="D305" s="125"/>
      <c r="E305" s="124"/>
      <c r="F305" s="124"/>
      <c r="G305" s="124"/>
      <c r="H305" s="124"/>
      <c r="I305" s="124"/>
      <c r="J305" s="123"/>
      <c r="K305" s="125"/>
      <c r="L305" s="125"/>
      <c r="M305" s="123"/>
      <c r="N305" s="126" t="str">
        <f aca="true">IF(OR(J305="",L305="Cerrado",L305="Cancelado"),"",MAX(0,TODAY()-J305))</f>
        <v/>
      </c>
      <c r="O305" s="124"/>
    </row>
    <row r="306" customFormat="false" ht="15" hidden="false" customHeight="false" outlineLevel="0" collapsed="false">
      <c r="A306" s="122" t="n">
        <v>297</v>
      </c>
      <c r="B306" s="123"/>
      <c r="C306" s="124"/>
      <c r="D306" s="125"/>
      <c r="E306" s="124"/>
      <c r="F306" s="124"/>
      <c r="G306" s="124"/>
      <c r="H306" s="124"/>
      <c r="I306" s="124"/>
      <c r="J306" s="123"/>
      <c r="K306" s="125"/>
      <c r="L306" s="125"/>
      <c r="M306" s="123"/>
      <c r="N306" s="126" t="str">
        <f aca="true">IF(OR(J306="",L306="Cerrado",L306="Cancelado"),"",MAX(0,TODAY()-J306))</f>
        <v/>
      </c>
      <c r="O306" s="124"/>
    </row>
    <row r="307" customFormat="false" ht="15" hidden="false" customHeight="false" outlineLevel="0" collapsed="false">
      <c r="A307" s="122" t="n">
        <v>298</v>
      </c>
      <c r="B307" s="123"/>
      <c r="C307" s="124"/>
      <c r="D307" s="125"/>
      <c r="E307" s="124"/>
      <c r="F307" s="124"/>
      <c r="G307" s="124"/>
      <c r="H307" s="124"/>
      <c r="I307" s="124"/>
      <c r="J307" s="123"/>
      <c r="K307" s="125"/>
      <c r="L307" s="125"/>
      <c r="M307" s="123"/>
      <c r="N307" s="126" t="str">
        <f aca="true">IF(OR(J307="",L307="Cerrado",L307="Cancelado"),"",MAX(0,TODAY()-J307))</f>
        <v/>
      </c>
      <c r="O307" s="124"/>
    </row>
    <row r="308" customFormat="false" ht="15" hidden="false" customHeight="false" outlineLevel="0" collapsed="false">
      <c r="A308" s="122" t="n">
        <v>299</v>
      </c>
      <c r="B308" s="123"/>
      <c r="C308" s="124"/>
      <c r="D308" s="125"/>
      <c r="E308" s="124"/>
      <c r="F308" s="124"/>
      <c r="G308" s="124"/>
      <c r="H308" s="124"/>
      <c r="I308" s="124"/>
      <c r="J308" s="123"/>
      <c r="K308" s="125"/>
      <c r="L308" s="125"/>
      <c r="M308" s="123"/>
      <c r="N308" s="126" t="str">
        <f aca="true">IF(OR(J308="",L308="Cerrado",L308="Cancelado"),"",MAX(0,TODAY()-J308))</f>
        <v/>
      </c>
      <c r="O308" s="124"/>
    </row>
    <row r="309" customFormat="false" ht="15" hidden="false" customHeight="false" outlineLevel="0" collapsed="false">
      <c r="A309" s="122" t="n">
        <v>300</v>
      </c>
      <c r="B309" s="123"/>
      <c r="C309" s="124"/>
      <c r="D309" s="125"/>
      <c r="E309" s="124"/>
      <c r="F309" s="124"/>
      <c r="G309" s="124"/>
      <c r="H309" s="124"/>
      <c r="I309" s="124"/>
      <c r="J309" s="123"/>
      <c r="K309" s="125"/>
      <c r="L309" s="125"/>
      <c r="M309" s="123"/>
      <c r="N309" s="126" t="str">
        <f aca="true">IF(OR(J309="",L309="Cerrado",L309="Cancelado"),"",MAX(0,TODAY()-J309))</f>
        <v/>
      </c>
      <c r="O309" s="124"/>
    </row>
  </sheetData>
  <autoFilter ref="A9:O309"/>
  <mergeCells count="11">
    <mergeCell ref="A1:O1"/>
    <mergeCell ref="A2:O2"/>
    <mergeCell ref="A3:O3"/>
    <mergeCell ref="B5:C5"/>
    <mergeCell ref="D5:E5"/>
    <mergeCell ref="F5:G5"/>
    <mergeCell ref="I5:J5"/>
    <mergeCell ref="B6:C6"/>
    <mergeCell ref="D6:E6"/>
    <mergeCell ref="F6:G6"/>
    <mergeCell ref="I6:J6"/>
  </mergeCells>
  <conditionalFormatting sqref="L10:L309">
    <cfRule type="expression" priority="2" aboveAverage="0" equalAverage="0" bottom="0" percent="0" rank="0" text="" dxfId="4">
      <formula>$L10="Cerrado"</formula>
    </cfRule>
    <cfRule type="expression" priority="3" aboveAverage="0" equalAverage="0" bottom="0" percent="0" rank="0" text="" dxfId="2">
      <formula>$L10="En curso"</formula>
    </cfRule>
    <cfRule type="expression" priority="4" aboveAverage="0" equalAverage="0" bottom="0" percent="0" rank="0" text="" dxfId="1">
      <formula>$L10="Abierto"</formula>
    </cfRule>
  </conditionalFormatting>
  <conditionalFormatting sqref="J10:J309">
    <cfRule type="expression" priority="5" aboveAverage="0" equalAverage="0" bottom="0" percent="0" rank="0" text="" dxfId="17">
      <formula>AND(ISNUMBER($N10),$N10&gt;0)</formula>
    </cfRule>
  </conditionalFormatting>
  <conditionalFormatting sqref="K10:K309">
    <cfRule type="expression" priority="6" aboveAverage="0" equalAverage="0" bottom="0" percent="0" rank="0" text="" dxfId="6">
      <formula>$K10="Alto"</formula>
    </cfRule>
  </conditionalFormatting>
  <conditionalFormatting sqref="N10:N309">
    <cfRule type="expression" priority="7" aboveAverage="0" equalAverage="0" bottom="0" percent="0" rank="0" text="" dxfId="18">
      <formula>AND(ISNUMBER($N10),$N10=0)</formula>
    </cfRule>
  </conditionalFormatting>
  <dataValidations count="7">
    <dataValidation allowBlank="true" errorStyle="stop" operator="between" showDropDown="false" showErrorMessage="false" showInputMessage="false" sqref="C10:C309" type="list">
      <formula1>Lista_zrodlo</formula1>
      <formula2>0</formula2>
    </dataValidation>
    <dataValidation allowBlank="true" errorStyle="stop" operator="between" showDropDown="false" showErrorMessage="false" showInputMessage="false" sqref="E10:E309" type="list">
      <formula1>Lista_obszarow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F10:F309" type="list">
      <formula1>Lista_S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K10:K309" type="list">
      <formula1>Lista_priorytet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L10:L309" type="list">
      <formula1>Lista_statusow</formula1>
      <formula2>0</formula2>
    </dataValidation>
    <dataValidation allowBlank="true" errorStyle="stop" operator="between" showDropDown="false" showErrorMessage="false" showInputMessage="false" sqref="I10:I309" type="list">
      <formula1>Lista_audytorow</formula1>
      <formula2>0</formula2>
    </dataValidation>
    <dataValidation allowBlank="true" error="Introduzca una fecha válida." errorStyle="stop" operator="greaterThan" showDropDown="false" showErrorMessage="true" showInputMessage="false" sqref="B10:B309 J10:J309 M10:M309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523F"/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40"/>
    <col collapsed="false" customWidth="true" hidden="false" outlineLevel="0" max="6" min="6" style="0" width="8"/>
    <col collapsed="false" customWidth="true" hidden="false" outlineLevel="0" max="7" min="7" style="0" width="20"/>
    <col collapsed="false" customWidth="true" hidden="false" outlineLevel="0" max="8" min="8" style="0" width="26"/>
    <col collapsed="false" customWidth="true" hidden="false" outlineLevel="0" max="9" min="9" style="0" width="20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4" min="14" style="0" width="28"/>
  </cols>
  <sheetData>
    <row r="1" customFormat="false" ht="30" hidden="false" customHeight="true" outlineLevel="0" collapsed="false">
      <c r="A1" s="21" t="s">
        <v>400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customFormat="false" ht="30" hidden="false" customHeight="true" outlineLevel="0" collapsed="false">
      <c r="A2" s="22" t="s">
        <v>401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customFormat="false" ht="15" hidden="false" customHeight="false" outlineLevel="0" collapsed="false">
      <c r="A3" s="110" t="s">
        <v>402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5" customFormat="false" ht="15" hidden="false" customHeight="true" outlineLevel="0" collapsed="false">
      <c r="A5" s="111" t="s">
        <v>403</v>
      </c>
      <c r="B5" s="111"/>
      <c r="C5" s="112" t="s">
        <v>71</v>
      </c>
      <c r="D5" s="111" t="s">
        <v>404</v>
      </c>
      <c r="E5" s="111"/>
      <c r="G5" s="111" t="s">
        <v>90</v>
      </c>
      <c r="H5" s="111"/>
      <c r="I5" s="111" t="s">
        <v>405</v>
      </c>
      <c r="J5" s="111"/>
    </row>
    <row r="6" customFormat="false" ht="31.5" hidden="false" customHeight="true" outlineLevel="0" collapsed="false">
      <c r="A6" s="113" t="n">
        <f aca="false">COUNTA($E$10:$E$209)</f>
        <v>0</v>
      </c>
      <c r="B6" s="113"/>
      <c r="C6" s="114" t="n">
        <f aca="false">COUNTIF($K$10:$K$209,"Pendiente de decisión")</f>
        <v>0</v>
      </c>
      <c r="D6" s="113" t="n">
        <f aca="true">COUNTIFS($K$10:$K$209,"Pendiente de decisión",$J$10:$J$209,"&lt;"&amp;TODAY())</f>
        <v>0</v>
      </c>
      <c r="E6" s="113"/>
      <c r="G6" s="115" t="str">
        <f aca="false">IFERROR(COUNTIF($K$10:$K$209,"Realizado")/COUNTA($E$10:$E$209),"–")</f>
        <v>–</v>
      </c>
      <c r="H6" s="115"/>
      <c r="I6" s="127" t="str">
        <f aca="false">IFERROR(SUMPRODUCT(--($K$10:$K$209="Realizado"),--($L$10:$L$209&lt;&gt;""),$L$10:$L$209-$B$10:$B$209)/COUNTIF($K$10:$K$209,"Realizado"),"–")</f>
        <v>–</v>
      </c>
      <c r="J6" s="127"/>
    </row>
    <row r="9" customFormat="false" ht="30" hidden="false" customHeight="true" outlineLevel="0" collapsed="false">
      <c r="A9" s="36" t="s">
        <v>406</v>
      </c>
      <c r="B9" s="36" t="s">
        <v>407</v>
      </c>
      <c r="C9" s="36" t="s">
        <v>343</v>
      </c>
      <c r="D9" s="36" t="s">
        <v>408</v>
      </c>
      <c r="E9" s="36" t="s">
        <v>409</v>
      </c>
      <c r="F9" s="36" t="s">
        <v>410</v>
      </c>
      <c r="G9" s="36" t="s">
        <v>411</v>
      </c>
      <c r="H9" s="36" t="s">
        <v>412</v>
      </c>
      <c r="I9" s="36" t="s">
        <v>413</v>
      </c>
      <c r="J9" s="36" t="s">
        <v>414</v>
      </c>
      <c r="K9" s="36" t="s">
        <v>396</v>
      </c>
      <c r="L9" s="36" t="s">
        <v>415</v>
      </c>
      <c r="M9" s="36" t="s">
        <v>416</v>
      </c>
      <c r="N9" s="36" t="s">
        <v>399</v>
      </c>
    </row>
    <row r="10" customFormat="false" ht="15" hidden="false" customHeight="false" outlineLevel="0" collapsed="false">
      <c r="A10" s="128" t="n">
        <v>1</v>
      </c>
      <c r="B10" s="123"/>
      <c r="C10" s="124"/>
      <c r="D10" s="124"/>
      <c r="E10" s="124"/>
      <c r="F10" s="125"/>
      <c r="G10" s="124"/>
      <c r="H10" s="124"/>
      <c r="I10" s="124"/>
      <c r="J10" s="123"/>
      <c r="K10" s="125"/>
      <c r="L10" s="123"/>
      <c r="M10" s="126" t="str">
        <f aca="true">IF(OR(B10="",K10="Realizado"),"",TODAY()-B10)</f>
        <v/>
      </c>
      <c r="N10" s="124"/>
    </row>
    <row r="11" customFormat="false" ht="15" hidden="false" customHeight="false" outlineLevel="0" collapsed="false">
      <c r="A11" s="128" t="n">
        <v>2</v>
      </c>
      <c r="B11" s="123"/>
      <c r="C11" s="124"/>
      <c r="D11" s="124"/>
      <c r="E11" s="124"/>
      <c r="F11" s="125"/>
      <c r="G11" s="124"/>
      <c r="H11" s="124"/>
      <c r="I11" s="124"/>
      <c r="J11" s="123"/>
      <c r="K11" s="125"/>
      <c r="L11" s="123"/>
      <c r="M11" s="126" t="str">
        <f aca="true">IF(OR(B11="",K11="Realizado"),"",TODAY()-B11)</f>
        <v/>
      </c>
      <c r="N11" s="124"/>
    </row>
    <row r="12" customFormat="false" ht="15" hidden="false" customHeight="false" outlineLevel="0" collapsed="false">
      <c r="A12" s="128" t="n">
        <v>3</v>
      </c>
      <c r="B12" s="123"/>
      <c r="C12" s="124"/>
      <c r="D12" s="124"/>
      <c r="E12" s="124"/>
      <c r="F12" s="125"/>
      <c r="G12" s="124"/>
      <c r="H12" s="124"/>
      <c r="I12" s="124"/>
      <c r="J12" s="123"/>
      <c r="K12" s="125"/>
      <c r="L12" s="123"/>
      <c r="M12" s="126" t="str">
        <f aca="true">IF(OR(B12="",K12="Realizado"),"",TODAY()-B12)</f>
        <v/>
      </c>
      <c r="N12" s="124"/>
    </row>
    <row r="13" customFormat="false" ht="15" hidden="false" customHeight="false" outlineLevel="0" collapsed="false">
      <c r="A13" s="128" t="n">
        <v>4</v>
      </c>
      <c r="B13" s="123"/>
      <c r="C13" s="124"/>
      <c r="D13" s="124"/>
      <c r="E13" s="124"/>
      <c r="F13" s="125"/>
      <c r="G13" s="124"/>
      <c r="H13" s="124"/>
      <c r="I13" s="124"/>
      <c r="J13" s="123"/>
      <c r="K13" s="125"/>
      <c r="L13" s="123"/>
      <c r="M13" s="126" t="str">
        <f aca="true">IF(OR(B13="",K13="Realizado"),"",TODAY()-B13)</f>
        <v/>
      </c>
      <c r="N13" s="124"/>
    </row>
    <row r="14" customFormat="false" ht="15" hidden="false" customHeight="false" outlineLevel="0" collapsed="false">
      <c r="A14" s="128" t="n">
        <v>5</v>
      </c>
      <c r="B14" s="123"/>
      <c r="C14" s="124"/>
      <c r="D14" s="124"/>
      <c r="E14" s="124"/>
      <c r="F14" s="125"/>
      <c r="G14" s="124"/>
      <c r="H14" s="124"/>
      <c r="I14" s="124"/>
      <c r="J14" s="123"/>
      <c r="K14" s="125"/>
      <c r="L14" s="123"/>
      <c r="M14" s="126" t="str">
        <f aca="true">IF(OR(B14="",K14="Realizado"),"",TODAY()-B14)</f>
        <v/>
      </c>
      <c r="N14" s="124"/>
    </row>
    <row r="15" customFormat="false" ht="15" hidden="false" customHeight="false" outlineLevel="0" collapsed="false">
      <c r="A15" s="128" t="n">
        <v>6</v>
      </c>
      <c r="B15" s="123"/>
      <c r="C15" s="124"/>
      <c r="D15" s="124"/>
      <c r="E15" s="124"/>
      <c r="F15" s="125"/>
      <c r="G15" s="124"/>
      <c r="H15" s="124"/>
      <c r="I15" s="124"/>
      <c r="J15" s="123"/>
      <c r="K15" s="125"/>
      <c r="L15" s="123"/>
      <c r="M15" s="126" t="str">
        <f aca="true">IF(OR(B15="",K15="Realizado"),"",TODAY()-B15)</f>
        <v/>
      </c>
      <c r="N15" s="124"/>
    </row>
    <row r="16" customFormat="false" ht="15" hidden="false" customHeight="false" outlineLevel="0" collapsed="false">
      <c r="A16" s="128" t="n">
        <v>7</v>
      </c>
      <c r="B16" s="123"/>
      <c r="C16" s="124"/>
      <c r="D16" s="124"/>
      <c r="E16" s="124"/>
      <c r="F16" s="125"/>
      <c r="G16" s="124"/>
      <c r="H16" s="124"/>
      <c r="I16" s="124"/>
      <c r="J16" s="123"/>
      <c r="K16" s="125"/>
      <c r="L16" s="123"/>
      <c r="M16" s="126" t="str">
        <f aca="true">IF(OR(B16="",K16="Realizado"),"",TODAY()-B16)</f>
        <v/>
      </c>
      <c r="N16" s="124"/>
    </row>
    <row r="17" customFormat="false" ht="15" hidden="false" customHeight="false" outlineLevel="0" collapsed="false">
      <c r="A17" s="128" t="n">
        <v>8</v>
      </c>
      <c r="B17" s="123"/>
      <c r="C17" s="124"/>
      <c r="D17" s="124"/>
      <c r="E17" s="124"/>
      <c r="F17" s="125"/>
      <c r="G17" s="124"/>
      <c r="H17" s="124"/>
      <c r="I17" s="124"/>
      <c r="J17" s="123"/>
      <c r="K17" s="125"/>
      <c r="L17" s="123"/>
      <c r="M17" s="126" t="str">
        <f aca="true">IF(OR(B17="",K17="Realizado"),"",TODAY()-B17)</f>
        <v/>
      </c>
      <c r="N17" s="124"/>
    </row>
    <row r="18" customFormat="false" ht="15" hidden="false" customHeight="false" outlineLevel="0" collapsed="false">
      <c r="A18" s="128" t="n">
        <v>9</v>
      </c>
      <c r="B18" s="123"/>
      <c r="C18" s="124"/>
      <c r="D18" s="124"/>
      <c r="E18" s="124"/>
      <c r="F18" s="125"/>
      <c r="G18" s="124"/>
      <c r="H18" s="124"/>
      <c r="I18" s="124"/>
      <c r="J18" s="123"/>
      <c r="K18" s="125"/>
      <c r="L18" s="123"/>
      <c r="M18" s="126" t="str">
        <f aca="true">IF(OR(B18="",K18="Realizado"),"",TODAY()-B18)</f>
        <v/>
      </c>
      <c r="N18" s="124"/>
    </row>
    <row r="19" customFormat="false" ht="15" hidden="false" customHeight="false" outlineLevel="0" collapsed="false">
      <c r="A19" s="128" t="n">
        <v>10</v>
      </c>
      <c r="B19" s="123"/>
      <c r="C19" s="124"/>
      <c r="D19" s="124"/>
      <c r="E19" s="124"/>
      <c r="F19" s="125"/>
      <c r="G19" s="124"/>
      <c r="H19" s="124"/>
      <c r="I19" s="124"/>
      <c r="J19" s="123"/>
      <c r="K19" s="125"/>
      <c r="L19" s="123"/>
      <c r="M19" s="126" t="str">
        <f aca="true">IF(OR(B19="",K19="Realizado"),"",TODAY()-B19)</f>
        <v/>
      </c>
      <c r="N19" s="124"/>
    </row>
    <row r="20" customFormat="false" ht="15" hidden="false" customHeight="false" outlineLevel="0" collapsed="false">
      <c r="A20" s="128" t="n">
        <v>11</v>
      </c>
      <c r="B20" s="123"/>
      <c r="C20" s="124"/>
      <c r="D20" s="124"/>
      <c r="E20" s="124"/>
      <c r="F20" s="125"/>
      <c r="G20" s="124"/>
      <c r="H20" s="124"/>
      <c r="I20" s="124"/>
      <c r="J20" s="123"/>
      <c r="K20" s="125"/>
      <c r="L20" s="123"/>
      <c r="M20" s="126" t="str">
        <f aca="true">IF(OR(B20="",K20="Realizado"),"",TODAY()-B20)</f>
        <v/>
      </c>
      <c r="N20" s="124"/>
    </row>
    <row r="21" customFormat="false" ht="15" hidden="false" customHeight="false" outlineLevel="0" collapsed="false">
      <c r="A21" s="128" t="n">
        <v>12</v>
      </c>
      <c r="B21" s="123"/>
      <c r="C21" s="124"/>
      <c r="D21" s="124"/>
      <c r="E21" s="124"/>
      <c r="F21" s="125"/>
      <c r="G21" s="124"/>
      <c r="H21" s="124"/>
      <c r="I21" s="124"/>
      <c r="J21" s="123"/>
      <c r="K21" s="125"/>
      <c r="L21" s="123"/>
      <c r="M21" s="126" t="str">
        <f aca="true">IF(OR(B21="",K21="Realizado"),"",TODAY()-B21)</f>
        <v/>
      </c>
      <c r="N21" s="124"/>
    </row>
    <row r="22" customFormat="false" ht="15" hidden="false" customHeight="false" outlineLevel="0" collapsed="false">
      <c r="A22" s="128" t="n">
        <v>13</v>
      </c>
      <c r="B22" s="123"/>
      <c r="C22" s="124"/>
      <c r="D22" s="124"/>
      <c r="E22" s="124"/>
      <c r="F22" s="125"/>
      <c r="G22" s="124"/>
      <c r="H22" s="124"/>
      <c r="I22" s="124"/>
      <c r="J22" s="123"/>
      <c r="K22" s="125"/>
      <c r="L22" s="123"/>
      <c r="M22" s="126" t="str">
        <f aca="true">IF(OR(B22="",K22="Realizado"),"",TODAY()-B22)</f>
        <v/>
      </c>
      <c r="N22" s="124"/>
    </row>
    <row r="23" customFormat="false" ht="15" hidden="false" customHeight="false" outlineLevel="0" collapsed="false">
      <c r="A23" s="128" t="n">
        <v>14</v>
      </c>
      <c r="B23" s="123"/>
      <c r="C23" s="124"/>
      <c r="D23" s="124"/>
      <c r="E23" s="124"/>
      <c r="F23" s="125"/>
      <c r="G23" s="124"/>
      <c r="H23" s="124"/>
      <c r="I23" s="124"/>
      <c r="J23" s="123"/>
      <c r="K23" s="125"/>
      <c r="L23" s="123"/>
      <c r="M23" s="126" t="str">
        <f aca="true">IF(OR(B23="",K23="Realizado"),"",TODAY()-B23)</f>
        <v/>
      </c>
      <c r="N23" s="124"/>
    </row>
    <row r="24" customFormat="false" ht="15" hidden="false" customHeight="false" outlineLevel="0" collapsed="false">
      <c r="A24" s="128" t="n">
        <v>15</v>
      </c>
      <c r="B24" s="123"/>
      <c r="C24" s="124"/>
      <c r="D24" s="124"/>
      <c r="E24" s="124"/>
      <c r="F24" s="125"/>
      <c r="G24" s="124"/>
      <c r="H24" s="124"/>
      <c r="I24" s="124"/>
      <c r="J24" s="123"/>
      <c r="K24" s="125"/>
      <c r="L24" s="123"/>
      <c r="M24" s="126" t="str">
        <f aca="true">IF(OR(B24="",K24="Realizado"),"",TODAY()-B24)</f>
        <v/>
      </c>
      <c r="N24" s="124"/>
    </row>
    <row r="25" customFormat="false" ht="15" hidden="false" customHeight="false" outlineLevel="0" collapsed="false">
      <c r="A25" s="128" t="n">
        <v>16</v>
      </c>
      <c r="B25" s="123"/>
      <c r="C25" s="124"/>
      <c r="D25" s="124"/>
      <c r="E25" s="124"/>
      <c r="F25" s="125"/>
      <c r="G25" s="124"/>
      <c r="H25" s="124"/>
      <c r="I25" s="124"/>
      <c r="J25" s="123"/>
      <c r="K25" s="125"/>
      <c r="L25" s="123"/>
      <c r="M25" s="126" t="str">
        <f aca="true">IF(OR(B25="",K25="Realizado"),"",TODAY()-B25)</f>
        <v/>
      </c>
      <c r="N25" s="124"/>
    </row>
    <row r="26" customFormat="false" ht="15" hidden="false" customHeight="false" outlineLevel="0" collapsed="false">
      <c r="A26" s="128" t="n">
        <v>17</v>
      </c>
      <c r="B26" s="123"/>
      <c r="C26" s="124"/>
      <c r="D26" s="124"/>
      <c r="E26" s="124"/>
      <c r="F26" s="125"/>
      <c r="G26" s="124"/>
      <c r="H26" s="124"/>
      <c r="I26" s="124"/>
      <c r="J26" s="123"/>
      <c r="K26" s="125"/>
      <c r="L26" s="123"/>
      <c r="M26" s="126" t="str">
        <f aca="true">IF(OR(B26="",K26="Realizado"),"",TODAY()-B26)</f>
        <v/>
      </c>
      <c r="N26" s="124"/>
    </row>
    <row r="27" customFormat="false" ht="15" hidden="false" customHeight="false" outlineLevel="0" collapsed="false">
      <c r="A27" s="128" t="n">
        <v>18</v>
      </c>
      <c r="B27" s="123"/>
      <c r="C27" s="124"/>
      <c r="D27" s="124"/>
      <c r="E27" s="124"/>
      <c r="F27" s="125"/>
      <c r="G27" s="124"/>
      <c r="H27" s="124"/>
      <c r="I27" s="124"/>
      <c r="J27" s="123"/>
      <c r="K27" s="125"/>
      <c r="L27" s="123"/>
      <c r="M27" s="126" t="str">
        <f aca="true">IF(OR(B27="",K27="Realizado"),"",TODAY()-B27)</f>
        <v/>
      </c>
      <c r="N27" s="124"/>
    </row>
    <row r="28" customFormat="false" ht="15" hidden="false" customHeight="false" outlineLevel="0" collapsed="false">
      <c r="A28" s="128" t="n">
        <v>19</v>
      </c>
      <c r="B28" s="123"/>
      <c r="C28" s="124"/>
      <c r="D28" s="124"/>
      <c r="E28" s="124"/>
      <c r="F28" s="125"/>
      <c r="G28" s="124"/>
      <c r="H28" s="124"/>
      <c r="I28" s="124"/>
      <c r="J28" s="123"/>
      <c r="K28" s="125"/>
      <c r="L28" s="123"/>
      <c r="M28" s="126" t="str">
        <f aca="true">IF(OR(B28="",K28="Realizado"),"",TODAY()-B28)</f>
        <v/>
      </c>
      <c r="N28" s="124"/>
    </row>
    <row r="29" customFormat="false" ht="15" hidden="false" customHeight="false" outlineLevel="0" collapsed="false">
      <c r="A29" s="128" t="n">
        <v>20</v>
      </c>
      <c r="B29" s="123"/>
      <c r="C29" s="124"/>
      <c r="D29" s="124"/>
      <c r="E29" s="124"/>
      <c r="F29" s="125"/>
      <c r="G29" s="124"/>
      <c r="H29" s="124"/>
      <c r="I29" s="124"/>
      <c r="J29" s="123"/>
      <c r="K29" s="125"/>
      <c r="L29" s="123"/>
      <c r="M29" s="126" t="str">
        <f aca="true">IF(OR(B29="",K29="Realizado"),"",TODAY()-B29)</f>
        <v/>
      </c>
      <c r="N29" s="124"/>
    </row>
    <row r="30" customFormat="false" ht="15" hidden="false" customHeight="false" outlineLevel="0" collapsed="false">
      <c r="A30" s="128" t="n">
        <v>21</v>
      </c>
      <c r="B30" s="123"/>
      <c r="C30" s="124"/>
      <c r="D30" s="124"/>
      <c r="E30" s="124"/>
      <c r="F30" s="125"/>
      <c r="G30" s="124"/>
      <c r="H30" s="124"/>
      <c r="I30" s="124"/>
      <c r="J30" s="123"/>
      <c r="K30" s="125"/>
      <c r="L30" s="123"/>
      <c r="M30" s="126" t="str">
        <f aca="true">IF(OR(B30="",K30="Realizado"),"",TODAY()-B30)</f>
        <v/>
      </c>
      <c r="N30" s="124"/>
    </row>
    <row r="31" customFormat="false" ht="15" hidden="false" customHeight="false" outlineLevel="0" collapsed="false">
      <c r="A31" s="128" t="n">
        <v>22</v>
      </c>
      <c r="B31" s="123"/>
      <c r="C31" s="124"/>
      <c r="D31" s="124"/>
      <c r="E31" s="124"/>
      <c r="F31" s="125"/>
      <c r="G31" s="124"/>
      <c r="H31" s="124"/>
      <c r="I31" s="124"/>
      <c r="J31" s="123"/>
      <c r="K31" s="125"/>
      <c r="L31" s="123"/>
      <c r="M31" s="126" t="str">
        <f aca="true">IF(OR(B31="",K31="Realizado"),"",TODAY()-B31)</f>
        <v/>
      </c>
      <c r="N31" s="124"/>
    </row>
    <row r="32" customFormat="false" ht="15" hidden="false" customHeight="false" outlineLevel="0" collapsed="false">
      <c r="A32" s="128" t="n">
        <v>23</v>
      </c>
      <c r="B32" s="123"/>
      <c r="C32" s="124"/>
      <c r="D32" s="124"/>
      <c r="E32" s="124"/>
      <c r="F32" s="125"/>
      <c r="G32" s="124"/>
      <c r="H32" s="124"/>
      <c r="I32" s="124"/>
      <c r="J32" s="123"/>
      <c r="K32" s="125"/>
      <c r="L32" s="123"/>
      <c r="M32" s="126" t="str">
        <f aca="true">IF(OR(B32="",K32="Realizado"),"",TODAY()-B32)</f>
        <v/>
      </c>
      <c r="N32" s="124"/>
    </row>
    <row r="33" customFormat="false" ht="15" hidden="false" customHeight="false" outlineLevel="0" collapsed="false">
      <c r="A33" s="128" t="n">
        <v>24</v>
      </c>
      <c r="B33" s="123"/>
      <c r="C33" s="124"/>
      <c r="D33" s="124"/>
      <c r="E33" s="124"/>
      <c r="F33" s="125"/>
      <c r="G33" s="124"/>
      <c r="H33" s="124"/>
      <c r="I33" s="124"/>
      <c r="J33" s="123"/>
      <c r="K33" s="125"/>
      <c r="L33" s="123"/>
      <c r="M33" s="126" t="str">
        <f aca="true">IF(OR(B33="",K33="Realizado"),"",TODAY()-B33)</f>
        <v/>
      </c>
      <c r="N33" s="124"/>
    </row>
    <row r="34" customFormat="false" ht="15" hidden="false" customHeight="false" outlineLevel="0" collapsed="false">
      <c r="A34" s="128" t="n">
        <v>25</v>
      </c>
      <c r="B34" s="123"/>
      <c r="C34" s="124"/>
      <c r="D34" s="124"/>
      <c r="E34" s="124"/>
      <c r="F34" s="125"/>
      <c r="G34" s="124"/>
      <c r="H34" s="124"/>
      <c r="I34" s="124"/>
      <c r="J34" s="123"/>
      <c r="K34" s="125"/>
      <c r="L34" s="123"/>
      <c r="M34" s="126" t="str">
        <f aca="true">IF(OR(B34="",K34="Realizado"),"",TODAY()-B34)</f>
        <v/>
      </c>
      <c r="N34" s="124"/>
    </row>
    <row r="35" customFormat="false" ht="15" hidden="false" customHeight="false" outlineLevel="0" collapsed="false">
      <c r="A35" s="128" t="n">
        <v>26</v>
      </c>
      <c r="B35" s="123"/>
      <c r="C35" s="124"/>
      <c r="D35" s="124"/>
      <c r="E35" s="124"/>
      <c r="F35" s="125"/>
      <c r="G35" s="124"/>
      <c r="H35" s="124"/>
      <c r="I35" s="124"/>
      <c r="J35" s="123"/>
      <c r="K35" s="125"/>
      <c r="L35" s="123"/>
      <c r="M35" s="126" t="str">
        <f aca="true">IF(OR(B35="",K35="Realizado"),"",TODAY()-B35)</f>
        <v/>
      </c>
      <c r="N35" s="124"/>
    </row>
    <row r="36" customFormat="false" ht="15" hidden="false" customHeight="false" outlineLevel="0" collapsed="false">
      <c r="A36" s="128" t="n">
        <v>27</v>
      </c>
      <c r="B36" s="123"/>
      <c r="C36" s="124"/>
      <c r="D36" s="124"/>
      <c r="E36" s="124"/>
      <c r="F36" s="125"/>
      <c r="G36" s="124"/>
      <c r="H36" s="124"/>
      <c r="I36" s="124"/>
      <c r="J36" s="123"/>
      <c r="K36" s="125"/>
      <c r="L36" s="123"/>
      <c r="M36" s="126" t="str">
        <f aca="true">IF(OR(B36="",K36="Realizado"),"",TODAY()-B36)</f>
        <v/>
      </c>
      <c r="N36" s="124"/>
    </row>
    <row r="37" customFormat="false" ht="15" hidden="false" customHeight="false" outlineLevel="0" collapsed="false">
      <c r="A37" s="128" t="n">
        <v>28</v>
      </c>
      <c r="B37" s="123"/>
      <c r="C37" s="124"/>
      <c r="D37" s="124"/>
      <c r="E37" s="124"/>
      <c r="F37" s="125"/>
      <c r="G37" s="124"/>
      <c r="H37" s="124"/>
      <c r="I37" s="124"/>
      <c r="J37" s="123"/>
      <c r="K37" s="125"/>
      <c r="L37" s="123"/>
      <c r="M37" s="126" t="str">
        <f aca="true">IF(OR(B37="",K37="Realizado"),"",TODAY()-B37)</f>
        <v/>
      </c>
      <c r="N37" s="124"/>
    </row>
    <row r="38" customFormat="false" ht="15" hidden="false" customHeight="false" outlineLevel="0" collapsed="false">
      <c r="A38" s="128" t="n">
        <v>29</v>
      </c>
      <c r="B38" s="123"/>
      <c r="C38" s="124"/>
      <c r="D38" s="124"/>
      <c r="E38" s="124"/>
      <c r="F38" s="125"/>
      <c r="G38" s="124"/>
      <c r="H38" s="124"/>
      <c r="I38" s="124"/>
      <c r="J38" s="123"/>
      <c r="K38" s="125"/>
      <c r="L38" s="123"/>
      <c r="M38" s="126" t="str">
        <f aca="true">IF(OR(B38="",K38="Realizado"),"",TODAY()-B38)</f>
        <v/>
      </c>
      <c r="N38" s="124"/>
    </row>
    <row r="39" customFormat="false" ht="15" hidden="false" customHeight="false" outlineLevel="0" collapsed="false">
      <c r="A39" s="128" t="n">
        <v>30</v>
      </c>
      <c r="B39" s="123"/>
      <c r="C39" s="124"/>
      <c r="D39" s="124"/>
      <c r="E39" s="124"/>
      <c r="F39" s="125"/>
      <c r="G39" s="124"/>
      <c r="H39" s="124"/>
      <c r="I39" s="124"/>
      <c r="J39" s="123"/>
      <c r="K39" s="125"/>
      <c r="L39" s="123"/>
      <c r="M39" s="126" t="str">
        <f aca="true">IF(OR(B39="",K39="Realizado"),"",TODAY()-B39)</f>
        <v/>
      </c>
      <c r="N39" s="124"/>
    </row>
    <row r="40" customFormat="false" ht="15" hidden="false" customHeight="false" outlineLevel="0" collapsed="false">
      <c r="A40" s="128" t="n">
        <v>31</v>
      </c>
      <c r="B40" s="123"/>
      <c r="C40" s="124"/>
      <c r="D40" s="124"/>
      <c r="E40" s="124"/>
      <c r="F40" s="125"/>
      <c r="G40" s="124"/>
      <c r="H40" s="124"/>
      <c r="I40" s="124"/>
      <c r="J40" s="123"/>
      <c r="K40" s="125"/>
      <c r="L40" s="123"/>
      <c r="M40" s="126" t="str">
        <f aca="true">IF(OR(B40="",K40="Realizado"),"",TODAY()-B40)</f>
        <v/>
      </c>
      <c r="N40" s="124"/>
    </row>
    <row r="41" customFormat="false" ht="15" hidden="false" customHeight="false" outlineLevel="0" collapsed="false">
      <c r="A41" s="128" t="n">
        <v>32</v>
      </c>
      <c r="B41" s="123"/>
      <c r="C41" s="124"/>
      <c r="D41" s="124"/>
      <c r="E41" s="124"/>
      <c r="F41" s="125"/>
      <c r="G41" s="124"/>
      <c r="H41" s="124"/>
      <c r="I41" s="124"/>
      <c r="J41" s="123"/>
      <c r="K41" s="125"/>
      <c r="L41" s="123"/>
      <c r="M41" s="126" t="str">
        <f aca="true">IF(OR(B41="",K41="Realizado"),"",TODAY()-B41)</f>
        <v/>
      </c>
      <c r="N41" s="124"/>
    </row>
    <row r="42" customFormat="false" ht="15" hidden="false" customHeight="false" outlineLevel="0" collapsed="false">
      <c r="A42" s="128" t="n">
        <v>33</v>
      </c>
      <c r="B42" s="123"/>
      <c r="C42" s="124"/>
      <c r="D42" s="124"/>
      <c r="E42" s="124"/>
      <c r="F42" s="125"/>
      <c r="G42" s="124"/>
      <c r="H42" s="124"/>
      <c r="I42" s="124"/>
      <c r="J42" s="123"/>
      <c r="K42" s="125"/>
      <c r="L42" s="123"/>
      <c r="M42" s="126" t="str">
        <f aca="true">IF(OR(B42="",K42="Realizado"),"",TODAY()-B42)</f>
        <v/>
      </c>
      <c r="N42" s="124"/>
    </row>
    <row r="43" customFormat="false" ht="15" hidden="false" customHeight="false" outlineLevel="0" collapsed="false">
      <c r="A43" s="128" t="n">
        <v>34</v>
      </c>
      <c r="B43" s="123"/>
      <c r="C43" s="124"/>
      <c r="D43" s="124"/>
      <c r="E43" s="124"/>
      <c r="F43" s="125"/>
      <c r="G43" s="124"/>
      <c r="H43" s="124"/>
      <c r="I43" s="124"/>
      <c r="J43" s="123"/>
      <c r="K43" s="125"/>
      <c r="L43" s="123"/>
      <c r="M43" s="126" t="str">
        <f aca="true">IF(OR(B43="",K43="Realizado"),"",TODAY()-B43)</f>
        <v/>
      </c>
      <c r="N43" s="124"/>
    </row>
    <row r="44" customFormat="false" ht="15" hidden="false" customHeight="false" outlineLevel="0" collapsed="false">
      <c r="A44" s="128" t="n">
        <v>35</v>
      </c>
      <c r="B44" s="123"/>
      <c r="C44" s="124"/>
      <c r="D44" s="124"/>
      <c r="E44" s="124"/>
      <c r="F44" s="125"/>
      <c r="G44" s="124"/>
      <c r="H44" s="124"/>
      <c r="I44" s="124"/>
      <c r="J44" s="123"/>
      <c r="K44" s="125"/>
      <c r="L44" s="123"/>
      <c r="M44" s="126" t="str">
        <f aca="true">IF(OR(B44="",K44="Realizado"),"",TODAY()-B44)</f>
        <v/>
      </c>
      <c r="N44" s="124"/>
    </row>
    <row r="45" customFormat="false" ht="15" hidden="false" customHeight="false" outlineLevel="0" collapsed="false">
      <c r="A45" s="128" t="n">
        <v>36</v>
      </c>
      <c r="B45" s="123"/>
      <c r="C45" s="124"/>
      <c r="D45" s="124"/>
      <c r="E45" s="124"/>
      <c r="F45" s="125"/>
      <c r="G45" s="124"/>
      <c r="H45" s="124"/>
      <c r="I45" s="124"/>
      <c r="J45" s="123"/>
      <c r="K45" s="125"/>
      <c r="L45" s="123"/>
      <c r="M45" s="126" t="str">
        <f aca="true">IF(OR(B45="",K45="Realizado"),"",TODAY()-B45)</f>
        <v/>
      </c>
      <c r="N45" s="124"/>
    </row>
    <row r="46" customFormat="false" ht="15" hidden="false" customHeight="false" outlineLevel="0" collapsed="false">
      <c r="A46" s="128" t="n">
        <v>37</v>
      </c>
      <c r="B46" s="123"/>
      <c r="C46" s="124"/>
      <c r="D46" s="124"/>
      <c r="E46" s="124"/>
      <c r="F46" s="125"/>
      <c r="G46" s="124"/>
      <c r="H46" s="124"/>
      <c r="I46" s="124"/>
      <c r="J46" s="123"/>
      <c r="K46" s="125"/>
      <c r="L46" s="123"/>
      <c r="M46" s="126" t="str">
        <f aca="true">IF(OR(B46="",K46="Realizado"),"",TODAY()-B46)</f>
        <v/>
      </c>
      <c r="N46" s="124"/>
    </row>
    <row r="47" customFormat="false" ht="15" hidden="false" customHeight="false" outlineLevel="0" collapsed="false">
      <c r="A47" s="128" t="n">
        <v>38</v>
      </c>
      <c r="B47" s="123"/>
      <c r="C47" s="124"/>
      <c r="D47" s="124"/>
      <c r="E47" s="124"/>
      <c r="F47" s="125"/>
      <c r="G47" s="124"/>
      <c r="H47" s="124"/>
      <c r="I47" s="124"/>
      <c r="J47" s="123"/>
      <c r="K47" s="125"/>
      <c r="L47" s="123"/>
      <c r="M47" s="126" t="str">
        <f aca="true">IF(OR(B47="",K47="Realizado"),"",TODAY()-B47)</f>
        <v/>
      </c>
      <c r="N47" s="124"/>
    </row>
    <row r="48" customFormat="false" ht="15" hidden="false" customHeight="false" outlineLevel="0" collapsed="false">
      <c r="A48" s="128" t="n">
        <v>39</v>
      </c>
      <c r="B48" s="123"/>
      <c r="C48" s="124"/>
      <c r="D48" s="124"/>
      <c r="E48" s="124"/>
      <c r="F48" s="125"/>
      <c r="G48" s="124"/>
      <c r="H48" s="124"/>
      <c r="I48" s="124"/>
      <c r="J48" s="123"/>
      <c r="K48" s="125"/>
      <c r="L48" s="123"/>
      <c r="M48" s="126" t="str">
        <f aca="true">IF(OR(B48="",K48="Realizado"),"",TODAY()-B48)</f>
        <v/>
      </c>
      <c r="N48" s="124"/>
    </row>
    <row r="49" customFormat="false" ht="15" hidden="false" customHeight="false" outlineLevel="0" collapsed="false">
      <c r="A49" s="128" t="n">
        <v>40</v>
      </c>
      <c r="B49" s="123"/>
      <c r="C49" s="124"/>
      <c r="D49" s="124"/>
      <c r="E49" s="124"/>
      <c r="F49" s="125"/>
      <c r="G49" s="124"/>
      <c r="H49" s="124"/>
      <c r="I49" s="124"/>
      <c r="J49" s="123"/>
      <c r="K49" s="125"/>
      <c r="L49" s="123"/>
      <c r="M49" s="126" t="str">
        <f aca="true">IF(OR(B49="",K49="Realizado"),"",TODAY()-B49)</f>
        <v/>
      </c>
      <c r="N49" s="124"/>
    </row>
    <row r="50" customFormat="false" ht="15" hidden="false" customHeight="false" outlineLevel="0" collapsed="false">
      <c r="A50" s="128" t="n">
        <v>41</v>
      </c>
      <c r="B50" s="123"/>
      <c r="C50" s="124"/>
      <c r="D50" s="124"/>
      <c r="E50" s="124"/>
      <c r="F50" s="125"/>
      <c r="G50" s="124"/>
      <c r="H50" s="124"/>
      <c r="I50" s="124"/>
      <c r="J50" s="123"/>
      <c r="K50" s="125"/>
      <c r="L50" s="123"/>
      <c r="M50" s="126" t="str">
        <f aca="true">IF(OR(B50="",K50="Realizado"),"",TODAY()-B50)</f>
        <v/>
      </c>
      <c r="N50" s="124"/>
    </row>
    <row r="51" customFormat="false" ht="15" hidden="false" customHeight="false" outlineLevel="0" collapsed="false">
      <c r="A51" s="128" t="n">
        <v>42</v>
      </c>
      <c r="B51" s="123"/>
      <c r="C51" s="124"/>
      <c r="D51" s="124"/>
      <c r="E51" s="124"/>
      <c r="F51" s="125"/>
      <c r="G51" s="124"/>
      <c r="H51" s="124"/>
      <c r="I51" s="124"/>
      <c r="J51" s="123"/>
      <c r="K51" s="125"/>
      <c r="L51" s="123"/>
      <c r="M51" s="126" t="str">
        <f aca="true">IF(OR(B51="",K51="Realizado"),"",TODAY()-B51)</f>
        <v/>
      </c>
      <c r="N51" s="124"/>
    </row>
    <row r="52" customFormat="false" ht="15" hidden="false" customHeight="false" outlineLevel="0" collapsed="false">
      <c r="A52" s="128" t="n">
        <v>43</v>
      </c>
      <c r="B52" s="123"/>
      <c r="C52" s="124"/>
      <c r="D52" s="124"/>
      <c r="E52" s="124"/>
      <c r="F52" s="125"/>
      <c r="G52" s="124"/>
      <c r="H52" s="124"/>
      <c r="I52" s="124"/>
      <c r="J52" s="123"/>
      <c r="K52" s="125"/>
      <c r="L52" s="123"/>
      <c r="M52" s="126" t="str">
        <f aca="true">IF(OR(B52="",K52="Realizado"),"",TODAY()-B52)</f>
        <v/>
      </c>
      <c r="N52" s="124"/>
    </row>
    <row r="53" customFormat="false" ht="15" hidden="false" customHeight="false" outlineLevel="0" collapsed="false">
      <c r="A53" s="128" t="n">
        <v>44</v>
      </c>
      <c r="B53" s="123"/>
      <c r="C53" s="124"/>
      <c r="D53" s="124"/>
      <c r="E53" s="124"/>
      <c r="F53" s="125"/>
      <c r="G53" s="124"/>
      <c r="H53" s="124"/>
      <c r="I53" s="124"/>
      <c r="J53" s="123"/>
      <c r="K53" s="125"/>
      <c r="L53" s="123"/>
      <c r="M53" s="126" t="str">
        <f aca="true">IF(OR(B53="",K53="Realizado"),"",TODAY()-B53)</f>
        <v/>
      </c>
      <c r="N53" s="124"/>
    </row>
    <row r="54" customFormat="false" ht="15" hidden="false" customHeight="false" outlineLevel="0" collapsed="false">
      <c r="A54" s="128" t="n">
        <v>45</v>
      </c>
      <c r="B54" s="123"/>
      <c r="C54" s="124"/>
      <c r="D54" s="124"/>
      <c r="E54" s="124"/>
      <c r="F54" s="125"/>
      <c r="G54" s="124"/>
      <c r="H54" s="124"/>
      <c r="I54" s="124"/>
      <c r="J54" s="123"/>
      <c r="K54" s="125"/>
      <c r="L54" s="123"/>
      <c r="M54" s="126" t="str">
        <f aca="true">IF(OR(B54="",K54="Realizado"),"",TODAY()-B54)</f>
        <v/>
      </c>
      <c r="N54" s="124"/>
    </row>
    <row r="55" customFormat="false" ht="15" hidden="false" customHeight="false" outlineLevel="0" collapsed="false">
      <c r="A55" s="128" t="n">
        <v>46</v>
      </c>
      <c r="B55" s="123"/>
      <c r="C55" s="124"/>
      <c r="D55" s="124"/>
      <c r="E55" s="124"/>
      <c r="F55" s="125"/>
      <c r="G55" s="124"/>
      <c r="H55" s="124"/>
      <c r="I55" s="124"/>
      <c r="J55" s="123"/>
      <c r="K55" s="125"/>
      <c r="L55" s="123"/>
      <c r="M55" s="126" t="str">
        <f aca="true">IF(OR(B55="",K55="Realizado"),"",TODAY()-B55)</f>
        <v/>
      </c>
      <c r="N55" s="124"/>
    </row>
    <row r="56" customFormat="false" ht="15" hidden="false" customHeight="false" outlineLevel="0" collapsed="false">
      <c r="A56" s="128" t="n">
        <v>47</v>
      </c>
      <c r="B56" s="123"/>
      <c r="C56" s="124"/>
      <c r="D56" s="124"/>
      <c r="E56" s="124"/>
      <c r="F56" s="125"/>
      <c r="G56" s="124"/>
      <c r="H56" s="124"/>
      <c r="I56" s="124"/>
      <c r="J56" s="123"/>
      <c r="K56" s="125"/>
      <c r="L56" s="123"/>
      <c r="M56" s="126" t="str">
        <f aca="true">IF(OR(B56="",K56="Realizado"),"",TODAY()-B56)</f>
        <v/>
      </c>
      <c r="N56" s="124"/>
    </row>
    <row r="57" customFormat="false" ht="15" hidden="false" customHeight="false" outlineLevel="0" collapsed="false">
      <c r="A57" s="128" t="n">
        <v>48</v>
      </c>
      <c r="B57" s="123"/>
      <c r="C57" s="124"/>
      <c r="D57" s="124"/>
      <c r="E57" s="124"/>
      <c r="F57" s="125"/>
      <c r="G57" s="124"/>
      <c r="H57" s="124"/>
      <c r="I57" s="124"/>
      <c r="J57" s="123"/>
      <c r="K57" s="125"/>
      <c r="L57" s="123"/>
      <c r="M57" s="126" t="str">
        <f aca="true">IF(OR(B57="",K57="Realizado"),"",TODAY()-B57)</f>
        <v/>
      </c>
      <c r="N57" s="124"/>
    </row>
    <row r="58" customFormat="false" ht="15" hidden="false" customHeight="false" outlineLevel="0" collapsed="false">
      <c r="A58" s="128" t="n">
        <v>49</v>
      </c>
      <c r="B58" s="123"/>
      <c r="C58" s="124"/>
      <c r="D58" s="124"/>
      <c r="E58" s="124"/>
      <c r="F58" s="125"/>
      <c r="G58" s="124"/>
      <c r="H58" s="124"/>
      <c r="I58" s="124"/>
      <c r="J58" s="123"/>
      <c r="K58" s="125"/>
      <c r="L58" s="123"/>
      <c r="M58" s="126" t="str">
        <f aca="true">IF(OR(B58="",K58="Realizado"),"",TODAY()-B58)</f>
        <v/>
      </c>
      <c r="N58" s="124"/>
    </row>
    <row r="59" customFormat="false" ht="15" hidden="false" customHeight="false" outlineLevel="0" collapsed="false">
      <c r="A59" s="128" t="n">
        <v>50</v>
      </c>
      <c r="B59" s="123"/>
      <c r="C59" s="124"/>
      <c r="D59" s="124"/>
      <c r="E59" s="124"/>
      <c r="F59" s="125"/>
      <c r="G59" s="124"/>
      <c r="H59" s="124"/>
      <c r="I59" s="124"/>
      <c r="J59" s="123"/>
      <c r="K59" s="125"/>
      <c r="L59" s="123"/>
      <c r="M59" s="126" t="str">
        <f aca="true">IF(OR(B59="",K59="Realizado"),"",TODAY()-B59)</f>
        <v/>
      </c>
      <c r="N59" s="124"/>
    </row>
    <row r="60" customFormat="false" ht="15" hidden="false" customHeight="false" outlineLevel="0" collapsed="false">
      <c r="A60" s="128" t="n">
        <v>51</v>
      </c>
      <c r="B60" s="123"/>
      <c r="C60" s="124"/>
      <c r="D60" s="124"/>
      <c r="E60" s="124"/>
      <c r="F60" s="125"/>
      <c r="G60" s="124"/>
      <c r="H60" s="124"/>
      <c r="I60" s="124"/>
      <c r="J60" s="123"/>
      <c r="K60" s="125"/>
      <c r="L60" s="123"/>
      <c r="M60" s="126" t="str">
        <f aca="true">IF(OR(B60="",K60="Realizado"),"",TODAY()-B60)</f>
        <v/>
      </c>
      <c r="N60" s="124"/>
    </row>
    <row r="61" customFormat="false" ht="15" hidden="false" customHeight="false" outlineLevel="0" collapsed="false">
      <c r="A61" s="128" t="n">
        <v>52</v>
      </c>
      <c r="B61" s="123"/>
      <c r="C61" s="124"/>
      <c r="D61" s="124"/>
      <c r="E61" s="124"/>
      <c r="F61" s="125"/>
      <c r="G61" s="124"/>
      <c r="H61" s="124"/>
      <c r="I61" s="124"/>
      <c r="J61" s="123"/>
      <c r="K61" s="125"/>
      <c r="L61" s="123"/>
      <c r="M61" s="126" t="str">
        <f aca="true">IF(OR(B61="",K61="Realizado"),"",TODAY()-B61)</f>
        <v/>
      </c>
      <c r="N61" s="124"/>
    </row>
    <row r="62" customFormat="false" ht="15" hidden="false" customHeight="false" outlineLevel="0" collapsed="false">
      <c r="A62" s="128" t="n">
        <v>53</v>
      </c>
      <c r="B62" s="123"/>
      <c r="C62" s="124"/>
      <c r="D62" s="124"/>
      <c r="E62" s="124"/>
      <c r="F62" s="125"/>
      <c r="G62" s="124"/>
      <c r="H62" s="124"/>
      <c r="I62" s="124"/>
      <c r="J62" s="123"/>
      <c r="K62" s="125"/>
      <c r="L62" s="123"/>
      <c r="M62" s="126" t="str">
        <f aca="true">IF(OR(B62="",K62="Realizado"),"",TODAY()-B62)</f>
        <v/>
      </c>
      <c r="N62" s="124"/>
    </row>
    <row r="63" customFormat="false" ht="15" hidden="false" customHeight="false" outlineLevel="0" collapsed="false">
      <c r="A63" s="128" t="n">
        <v>54</v>
      </c>
      <c r="B63" s="123"/>
      <c r="C63" s="124"/>
      <c r="D63" s="124"/>
      <c r="E63" s="124"/>
      <c r="F63" s="125"/>
      <c r="G63" s="124"/>
      <c r="H63" s="124"/>
      <c r="I63" s="124"/>
      <c r="J63" s="123"/>
      <c r="K63" s="125"/>
      <c r="L63" s="123"/>
      <c r="M63" s="126" t="str">
        <f aca="true">IF(OR(B63="",K63="Realizado"),"",TODAY()-B63)</f>
        <v/>
      </c>
      <c r="N63" s="124"/>
    </row>
    <row r="64" customFormat="false" ht="15" hidden="false" customHeight="false" outlineLevel="0" collapsed="false">
      <c r="A64" s="128" t="n">
        <v>55</v>
      </c>
      <c r="B64" s="123"/>
      <c r="C64" s="124"/>
      <c r="D64" s="124"/>
      <c r="E64" s="124"/>
      <c r="F64" s="125"/>
      <c r="G64" s="124"/>
      <c r="H64" s="124"/>
      <c r="I64" s="124"/>
      <c r="J64" s="123"/>
      <c r="K64" s="125"/>
      <c r="L64" s="123"/>
      <c r="M64" s="126" t="str">
        <f aca="true">IF(OR(B64="",K64="Realizado"),"",TODAY()-B64)</f>
        <v/>
      </c>
      <c r="N64" s="124"/>
    </row>
    <row r="65" customFormat="false" ht="15" hidden="false" customHeight="false" outlineLevel="0" collapsed="false">
      <c r="A65" s="128" t="n">
        <v>56</v>
      </c>
      <c r="B65" s="123"/>
      <c r="C65" s="124"/>
      <c r="D65" s="124"/>
      <c r="E65" s="124"/>
      <c r="F65" s="125"/>
      <c r="G65" s="124"/>
      <c r="H65" s="124"/>
      <c r="I65" s="124"/>
      <c r="J65" s="123"/>
      <c r="K65" s="125"/>
      <c r="L65" s="123"/>
      <c r="M65" s="126" t="str">
        <f aca="true">IF(OR(B65="",K65="Realizado"),"",TODAY()-B65)</f>
        <v/>
      </c>
      <c r="N65" s="124"/>
    </row>
    <row r="66" customFormat="false" ht="15" hidden="false" customHeight="false" outlineLevel="0" collapsed="false">
      <c r="A66" s="128" t="n">
        <v>57</v>
      </c>
      <c r="B66" s="123"/>
      <c r="C66" s="124"/>
      <c r="D66" s="124"/>
      <c r="E66" s="124"/>
      <c r="F66" s="125"/>
      <c r="G66" s="124"/>
      <c r="H66" s="124"/>
      <c r="I66" s="124"/>
      <c r="J66" s="123"/>
      <c r="K66" s="125"/>
      <c r="L66" s="123"/>
      <c r="M66" s="126" t="str">
        <f aca="true">IF(OR(B66="",K66="Realizado"),"",TODAY()-B66)</f>
        <v/>
      </c>
      <c r="N66" s="124"/>
    </row>
    <row r="67" customFormat="false" ht="15" hidden="false" customHeight="false" outlineLevel="0" collapsed="false">
      <c r="A67" s="128" t="n">
        <v>58</v>
      </c>
      <c r="B67" s="123"/>
      <c r="C67" s="124"/>
      <c r="D67" s="124"/>
      <c r="E67" s="124"/>
      <c r="F67" s="125"/>
      <c r="G67" s="124"/>
      <c r="H67" s="124"/>
      <c r="I67" s="124"/>
      <c r="J67" s="123"/>
      <c r="K67" s="125"/>
      <c r="L67" s="123"/>
      <c r="M67" s="126" t="str">
        <f aca="true">IF(OR(B67="",K67="Realizado"),"",TODAY()-B67)</f>
        <v/>
      </c>
      <c r="N67" s="124"/>
    </row>
    <row r="68" customFormat="false" ht="15" hidden="false" customHeight="false" outlineLevel="0" collapsed="false">
      <c r="A68" s="128" t="n">
        <v>59</v>
      </c>
      <c r="B68" s="123"/>
      <c r="C68" s="124"/>
      <c r="D68" s="124"/>
      <c r="E68" s="124"/>
      <c r="F68" s="125"/>
      <c r="G68" s="124"/>
      <c r="H68" s="124"/>
      <c r="I68" s="124"/>
      <c r="J68" s="123"/>
      <c r="K68" s="125"/>
      <c r="L68" s="123"/>
      <c r="M68" s="126" t="str">
        <f aca="true">IF(OR(B68="",K68="Realizado"),"",TODAY()-B68)</f>
        <v/>
      </c>
      <c r="N68" s="124"/>
    </row>
    <row r="69" customFormat="false" ht="15" hidden="false" customHeight="false" outlineLevel="0" collapsed="false">
      <c r="A69" s="128" t="n">
        <v>60</v>
      </c>
      <c r="B69" s="123"/>
      <c r="C69" s="124"/>
      <c r="D69" s="124"/>
      <c r="E69" s="124"/>
      <c r="F69" s="125"/>
      <c r="G69" s="124"/>
      <c r="H69" s="124"/>
      <c r="I69" s="124"/>
      <c r="J69" s="123"/>
      <c r="K69" s="125"/>
      <c r="L69" s="123"/>
      <c r="M69" s="126" t="str">
        <f aca="true">IF(OR(B69="",K69="Realizado"),"",TODAY()-B69)</f>
        <v/>
      </c>
      <c r="N69" s="124"/>
    </row>
    <row r="70" customFormat="false" ht="15" hidden="false" customHeight="false" outlineLevel="0" collapsed="false">
      <c r="A70" s="128" t="n">
        <v>61</v>
      </c>
      <c r="B70" s="123"/>
      <c r="C70" s="124"/>
      <c r="D70" s="124"/>
      <c r="E70" s="124"/>
      <c r="F70" s="125"/>
      <c r="G70" s="124"/>
      <c r="H70" s="124"/>
      <c r="I70" s="124"/>
      <c r="J70" s="123"/>
      <c r="K70" s="125"/>
      <c r="L70" s="123"/>
      <c r="M70" s="126" t="str">
        <f aca="true">IF(OR(B70="",K70="Realizado"),"",TODAY()-B70)</f>
        <v/>
      </c>
      <c r="N70" s="124"/>
    </row>
    <row r="71" customFormat="false" ht="15" hidden="false" customHeight="false" outlineLevel="0" collapsed="false">
      <c r="A71" s="128" t="n">
        <v>62</v>
      </c>
      <c r="B71" s="123"/>
      <c r="C71" s="124"/>
      <c r="D71" s="124"/>
      <c r="E71" s="124"/>
      <c r="F71" s="125"/>
      <c r="G71" s="124"/>
      <c r="H71" s="124"/>
      <c r="I71" s="124"/>
      <c r="J71" s="123"/>
      <c r="K71" s="125"/>
      <c r="L71" s="123"/>
      <c r="M71" s="126" t="str">
        <f aca="true">IF(OR(B71="",K71="Realizado"),"",TODAY()-B71)</f>
        <v/>
      </c>
      <c r="N71" s="124"/>
    </row>
    <row r="72" customFormat="false" ht="15" hidden="false" customHeight="false" outlineLevel="0" collapsed="false">
      <c r="A72" s="128" t="n">
        <v>63</v>
      </c>
      <c r="B72" s="123"/>
      <c r="C72" s="124"/>
      <c r="D72" s="124"/>
      <c r="E72" s="124"/>
      <c r="F72" s="125"/>
      <c r="G72" s="124"/>
      <c r="H72" s="124"/>
      <c r="I72" s="124"/>
      <c r="J72" s="123"/>
      <c r="K72" s="125"/>
      <c r="L72" s="123"/>
      <c r="M72" s="126" t="str">
        <f aca="true">IF(OR(B72="",K72="Realizado"),"",TODAY()-B72)</f>
        <v/>
      </c>
      <c r="N72" s="124"/>
    </row>
    <row r="73" customFormat="false" ht="15" hidden="false" customHeight="false" outlineLevel="0" collapsed="false">
      <c r="A73" s="128" t="n">
        <v>64</v>
      </c>
      <c r="B73" s="123"/>
      <c r="C73" s="124"/>
      <c r="D73" s="124"/>
      <c r="E73" s="124"/>
      <c r="F73" s="125"/>
      <c r="G73" s="124"/>
      <c r="H73" s="124"/>
      <c r="I73" s="124"/>
      <c r="J73" s="123"/>
      <c r="K73" s="125"/>
      <c r="L73" s="123"/>
      <c r="M73" s="126" t="str">
        <f aca="true">IF(OR(B73="",K73="Realizado"),"",TODAY()-B73)</f>
        <v/>
      </c>
      <c r="N73" s="124"/>
    </row>
    <row r="74" customFormat="false" ht="15" hidden="false" customHeight="false" outlineLevel="0" collapsed="false">
      <c r="A74" s="128" t="n">
        <v>65</v>
      </c>
      <c r="B74" s="123"/>
      <c r="C74" s="124"/>
      <c r="D74" s="124"/>
      <c r="E74" s="124"/>
      <c r="F74" s="125"/>
      <c r="G74" s="124"/>
      <c r="H74" s="124"/>
      <c r="I74" s="124"/>
      <c r="J74" s="123"/>
      <c r="K74" s="125"/>
      <c r="L74" s="123"/>
      <c r="M74" s="126" t="str">
        <f aca="true">IF(OR(B74="",K74="Realizado"),"",TODAY()-B74)</f>
        <v/>
      </c>
      <c r="N74" s="124"/>
    </row>
    <row r="75" customFormat="false" ht="15" hidden="false" customHeight="false" outlineLevel="0" collapsed="false">
      <c r="A75" s="128" t="n">
        <v>66</v>
      </c>
      <c r="B75" s="123"/>
      <c r="C75" s="124"/>
      <c r="D75" s="124"/>
      <c r="E75" s="124"/>
      <c r="F75" s="125"/>
      <c r="G75" s="124"/>
      <c r="H75" s="124"/>
      <c r="I75" s="124"/>
      <c r="J75" s="123"/>
      <c r="K75" s="125"/>
      <c r="L75" s="123"/>
      <c r="M75" s="126" t="str">
        <f aca="true">IF(OR(B75="",K75="Realizado"),"",TODAY()-B75)</f>
        <v/>
      </c>
      <c r="N75" s="124"/>
    </row>
    <row r="76" customFormat="false" ht="15" hidden="false" customHeight="false" outlineLevel="0" collapsed="false">
      <c r="A76" s="128" t="n">
        <v>67</v>
      </c>
      <c r="B76" s="123"/>
      <c r="C76" s="124"/>
      <c r="D76" s="124"/>
      <c r="E76" s="124"/>
      <c r="F76" s="125"/>
      <c r="G76" s="124"/>
      <c r="H76" s="124"/>
      <c r="I76" s="124"/>
      <c r="J76" s="123"/>
      <c r="K76" s="125"/>
      <c r="L76" s="123"/>
      <c r="M76" s="126" t="str">
        <f aca="true">IF(OR(B76="",K76="Realizado"),"",TODAY()-B76)</f>
        <v/>
      </c>
      <c r="N76" s="124"/>
    </row>
    <row r="77" customFormat="false" ht="15" hidden="false" customHeight="false" outlineLevel="0" collapsed="false">
      <c r="A77" s="128" t="n">
        <v>68</v>
      </c>
      <c r="B77" s="123"/>
      <c r="C77" s="124"/>
      <c r="D77" s="124"/>
      <c r="E77" s="124"/>
      <c r="F77" s="125"/>
      <c r="G77" s="124"/>
      <c r="H77" s="124"/>
      <c r="I77" s="124"/>
      <c r="J77" s="123"/>
      <c r="K77" s="125"/>
      <c r="L77" s="123"/>
      <c r="M77" s="126" t="str">
        <f aca="true">IF(OR(B77="",K77="Realizado"),"",TODAY()-B77)</f>
        <v/>
      </c>
      <c r="N77" s="124"/>
    </row>
    <row r="78" customFormat="false" ht="15" hidden="false" customHeight="false" outlineLevel="0" collapsed="false">
      <c r="A78" s="128" t="n">
        <v>69</v>
      </c>
      <c r="B78" s="123"/>
      <c r="C78" s="124"/>
      <c r="D78" s="124"/>
      <c r="E78" s="124"/>
      <c r="F78" s="125"/>
      <c r="G78" s="124"/>
      <c r="H78" s="124"/>
      <c r="I78" s="124"/>
      <c r="J78" s="123"/>
      <c r="K78" s="125"/>
      <c r="L78" s="123"/>
      <c r="M78" s="126" t="str">
        <f aca="true">IF(OR(B78="",K78="Realizado"),"",TODAY()-B78)</f>
        <v/>
      </c>
      <c r="N78" s="124"/>
    </row>
    <row r="79" customFormat="false" ht="15" hidden="false" customHeight="false" outlineLevel="0" collapsed="false">
      <c r="A79" s="128" t="n">
        <v>70</v>
      </c>
      <c r="B79" s="123"/>
      <c r="C79" s="124"/>
      <c r="D79" s="124"/>
      <c r="E79" s="124"/>
      <c r="F79" s="125"/>
      <c r="G79" s="124"/>
      <c r="H79" s="124"/>
      <c r="I79" s="124"/>
      <c r="J79" s="123"/>
      <c r="K79" s="125"/>
      <c r="L79" s="123"/>
      <c r="M79" s="126" t="str">
        <f aca="true">IF(OR(B79="",K79="Realizado"),"",TODAY()-B79)</f>
        <v/>
      </c>
      <c r="N79" s="124"/>
    </row>
    <row r="80" customFormat="false" ht="15" hidden="false" customHeight="false" outlineLevel="0" collapsed="false">
      <c r="A80" s="128" t="n">
        <v>71</v>
      </c>
      <c r="B80" s="123"/>
      <c r="C80" s="124"/>
      <c r="D80" s="124"/>
      <c r="E80" s="124"/>
      <c r="F80" s="125"/>
      <c r="G80" s="124"/>
      <c r="H80" s="124"/>
      <c r="I80" s="124"/>
      <c r="J80" s="123"/>
      <c r="K80" s="125"/>
      <c r="L80" s="123"/>
      <c r="M80" s="126" t="str">
        <f aca="true">IF(OR(B80="",K80="Realizado"),"",TODAY()-B80)</f>
        <v/>
      </c>
      <c r="N80" s="124"/>
    </row>
    <row r="81" customFormat="false" ht="15" hidden="false" customHeight="false" outlineLevel="0" collapsed="false">
      <c r="A81" s="128" t="n">
        <v>72</v>
      </c>
      <c r="B81" s="123"/>
      <c r="C81" s="124"/>
      <c r="D81" s="124"/>
      <c r="E81" s="124"/>
      <c r="F81" s="125"/>
      <c r="G81" s="124"/>
      <c r="H81" s="124"/>
      <c r="I81" s="124"/>
      <c r="J81" s="123"/>
      <c r="K81" s="125"/>
      <c r="L81" s="123"/>
      <c r="M81" s="126" t="str">
        <f aca="true">IF(OR(B81="",K81="Realizado"),"",TODAY()-B81)</f>
        <v/>
      </c>
      <c r="N81" s="124"/>
    </row>
    <row r="82" customFormat="false" ht="15" hidden="false" customHeight="false" outlineLevel="0" collapsed="false">
      <c r="A82" s="128" t="n">
        <v>73</v>
      </c>
      <c r="B82" s="123"/>
      <c r="C82" s="124"/>
      <c r="D82" s="124"/>
      <c r="E82" s="124"/>
      <c r="F82" s="125"/>
      <c r="G82" s="124"/>
      <c r="H82" s="124"/>
      <c r="I82" s="124"/>
      <c r="J82" s="123"/>
      <c r="K82" s="125"/>
      <c r="L82" s="123"/>
      <c r="M82" s="126" t="str">
        <f aca="true">IF(OR(B82="",K82="Realizado"),"",TODAY()-B82)</f>
        <v/>
      </c>
      <c r="N82" s="124"/>
    </row>
    <row r="83" customFormat="false" ht="15" hidden="false" customHeight="false" outlineLevel="0" collapsed="false">
      <c r="A83" s="128" t="n">
        <v>74</v>
      </c>
      <c r="B83" s="123"/>
      <c r="C83" s="124"/>
      <c r="D83" s="124"/>
      <c r="E83" s="124"/>
      <c r="F83" s="125"/>
      <c r="G83" s="124"/>
      <c r="H83" s="124"/>
      <c r="I83" s="124"/>
      <c r="J83" s="123"/>
      <c r="K83" s="125"/>
      <c r="L83" s="123"/>
      <c r="M83" s="126" t="str">
        <f aca="true">IF(OR(B83="",K83="Realizado"),"",TODAY()-B83)</f>
        <v/>
      </c>
      <c r="N83" s="124"/>
    </row>
    <row r="84" customFormat="false" ht="15" hidden="false" customHeight="false" outlineLevel="0" collapsed="false">
      <c r="A84" s="128" t="n">
        <v>75</v>
      </c>
      <c r="B84" s="123"/>
      <c r="C84" s="124"/>
      <c r="D84" s="124"/>
      <c r="E84" s="124"/>
      <c r="F84" s="125"/>
      <c r="G84" s="124"/>
      <c r="H84" s="124"/>
      <c r="I84" s="124"/>
      <c r="J84" s="123"/>
      <c r="K84" s="125"/>
      <c r="L84" s="123"/>
      <c r="M84" s="126" t="str">
        <f aca="true">IF(OR(B84="",K84="Realizado"),"",TODAY()-B84)</f>
        <v/>
      </c>
      <c r="N84" s="124"/>
    </row>
    <row r="85" customFormat="false" ht="15" hidden="false" customHeight="false" outlineLevel="0" collapsed="false">
      <c r="A85" s="128" t="n">
        <v>76</v>
      </c>
      <c r="B85" s="123"/>
      <c r="C85" s="124"/>
      <c r="D85" s="124"/>
      <c r="E85" s="124"/>
      <c r="F85" s="125"/>
      <c r="G85" s="124"/>
      <c r="H85" s="124"/>
      <c r="I85" s="124"/>
      <c r="J85" s="123"/>
      <c r="K85" s="125"/>
      <c r="L85" s="123"/>
      <c r="M85" s="126" t="str">
        <f aca="true">IF(OR(B85="",K85="Realizado"),"",TODAY()-B85)</f>
        <v/>
      </c>
      <c r="N85" s="124"/>
    </row>
    <row r="86" customFormat="false" ht="15" hidden="false" customHeight="false" outlineLevel="0" collapsed="false">
      <c r="A86" s="128" t="n">
        <v>77</v>
      </c>
      <c r="B86" s="123"/>
      <c r="C86" s="124"/>
      <c r="D86" s="124"/>
      <c r="E86" s="124"/>
      <c r="F86" s="125"/>
      <c r="G86" s="124"/>
      <c r="H86" s="124"/>
      <c r="I86" s="124"/>
      <c r="J86" s="123"/>
      <c r="K86" s="125"/>
      <c r="L86" s="123"/>
      <c r="M86" s="126" t="str">
        <f aca="true">IF(OR(B86="",K86="Realizado"),"",TODAY()-B86)</f>
        <v/>
      </c>
      <c r="N86" s="124"/>
    </row>
    <row r="87" customFormat="false" ht="15" hidden="false" customHeight="false" outlineLevel="0" collapsed="false">
      <c r="A87" s="128" t="n">
        <v>78</v>
      </c>
      <c r="B87" s="123"/>
      <c r="C87" s="124"/>
      <c r="D87" s="124"/>
      <c r="E87" s="124"/>
      <c r="F87" s="125"/>
      <c r="G87" s="124"/>
      <c r="H87" s="124"/>
      <c r="I87" s="124"/>
      <c r="J87" s="123"/>
      <c r="K87" s="125"/>
      <c r="L87" s="123"/>
      <c r="M87" s="126" t="str">
        <f aca="true">IF(OR(B87="",K87="Realizado"),"",TODAY()-B87)</f>
        <v/>
      </c>
      <c r="N87" s="124"/>
    </row>
    <row r="88" customFormat="false" ht="15" hidden="false" customHeight="false" outlineLevel="0" collapsed="false">
      <c r="A88" s="128" t="n">
        <v>79</v>
      </c>
      <c r="B88" s="123"/>
      <c r="C88" s="124"/>
      <c r="D88" s="124"/>
      <c r="E88" s="124"/>
      <c r="F88" s="125"/>
      <c r="G88" s="124"/>
      <c r="H88" s="124"/>
      <c r="I88" s="124"/>
      <c r="J88" s="123"/>
      <c r="K88" s="125"/>
      <c r="L88" s="123"/>
      <c r="M88" s="126" t="str">
        <f aca="true">IF(OR(B88="",K88="Realizado"),"",TODAY()-B88)</f>
        <v/>
      </c>
      <c r="N88" s="124"/>
    </row>
    <row r="89" customFormat="false" ht="15" hidden="false" customHeight="false" outlineLevel="0" collapsed="false">
      <c r="A89" s="128" t="n">
        <v>80</v>
      </c>
      <c r="B89" s="123"/>
      <c r="C89" s="124"/>
      <c r="D89" s="124"/>
      <c r="E89" s="124"/>
      <c r="F89" s="125"/>
      <c r="G89" s="124"/>
      <c r="H89" s="124"/>
      <c r="I89" s="124"/>
      <c r="J89" s="123"/>
      <c r="K89" s="125"/>
      <c r="L89" s="123"/>
      <c r="M89" s="126" t="str">
        <f aca="true">IF(OR(B89="",K89="Realizado"),"",TODAY()-B89)</f>
        <v/>
      </c>
      <c r="N89" s="124"/>
    </row>
    <row r="90" customFormat="false" ht="15" hidden="false" customHeight="false" outlineLevel="0" collapsed="false">
      <c r="A90" s="128" t="n">
        <v>81</v>
      </c>
      <c r="B90" s="123"/>
      <c r="C90" s="124"/>
      <c r="D90" s="124"/>
      <c r="E90" s="124"/>
      <c r="F90" s="125"/>
      <c r="G90" s="124"/>
      <c r="H90" s="124"/>
      <c r="I90" s="124"/>
      <c r="J90" s="123"/>
      <c r="K90" s="125"/>
      <c r="L90" s="123"/>
      <c r="M90" s="126" t="str">
        <f aca="true">IF(OR(B90="",K90="Realizado"),"",TODAY()-B90)</f>
        <v/>
      </c>
      <c r="N90" s="124"/>
    </row>
    <row r="91" customFormat="false" ht="15" hidden="false" customHeight="false" outlineLevel="0" collapsed="false">
      <c r="A91" s="128" t="n">
        <v>82</v>
      </c>
      <c r="B91" s="123"/>
      <c r="C91" s="124"/>
      <c r="D91" s="124"/>
      <c r="E91" s="124"/>
      <c r="F91" s="125"/>
      <c r="G91" s="124"/>
      <c r="H91" s="124"/>
      <c r="I91" s="124"/>
      <c r="J91" s="123"/>
      <c r="K91" s="125"/>
      <c r="L91" s="123"/>
      <c r="M91" s="126" t="str">
        <f aca="true">IF(OR(B91="",K91="Realizado"),"",TODAY()-B91)</f>
        <v/>
      </c>
      <c r="N91" s="124"/>
    </row>
    <row r="92" customFormat="false" ht="15" hidden="false" customHeight="false" outlineLevel="0" collapsed="false">
      <c r="A92" s="128" t="n">
        <v>83</v>
      </c>
      <c r="B92" s="123"/>
      <c r="C92" s="124"/>
      <c r="D92" s="124"/>
      <c r="E92" s="124"/>
      <c r="F92" s="125"/>
      <c r="G92" s="124"/>
      <c r="H92" s="124"/>
      <c r="I92" s="124"/>
      <c r="J92" s="123"/>
      <c r="K92" s="125"/>
      <c r="L92" s="123"/>
      <c r="M92" s="126" t="str">
        <f aca="true">IF(OR(B92="",K92="Realizado"),"",TODAY()-B92)</f>
        <v/>
      </c>
      <c r="N92" s="124"/>
    </row>
    <row r="93" customFormat="false" ht="15" hidden="false" customHeight="false" outlineLevel="0" collapsed="false">
      <c r="A93" s="128" t="n">
        <v>84</v>
      </c>
      <c r="B93" s="123"/>
      <c r="C93" s="124"/>
      <c r="D93" s="124"/>
      <c r="E93" s="124"/>
      <c r="F93" s="125"/>
      <c r="G93" s="124"/>
      <c r="H93" s="124"/>
      <c r="I93" s="124"/>
      <c r="J93" s="123"/>
      <c r="K93" s="125"/>
      <c r="L93" s="123"/>
      <c r="M93" s="126" t="str">
        <f aca="true">IF(OR(B93="",K93="Realizado"),"",TODAY()-B93)</f>
        <v/>
      </c>
      <c r="N93" s="124"/>
    </row>
    <row r="94" customFormat="false" ht="15" hidden="false" customHeight="false" outlineLevel="0" collapsed="false">
      <c r="A94" s="128" t="n">
        <v>85</v>
      </c>
      <c r="B94" s="123"/>
      <c r="C94" s="124"/>
      <c r="D94" s="124"/>
      <c r="E94" s="124"/>
      <c r="F94" s="125"/>
      <c r="G94" s="124"/>
      <c r="H94" s="124"/>
      <c r="I94" s="124"/>
      <c r="J94" s="123"/>
      <c r="K94" s="125"/>
      <c r="L94" s="123"/>
      <c r="M94" s="126" t="str">
        <f aca="true">IF(OR(B94="",K94="Realizado"),"",TODAY()-B94)</f>
        <v/>
      </c>
      <c r="N94" s="124"/>
    </row>
    <row r="95" customFormat="false" ht="15" hidden="false" customHeight="false" outlineLevel="0" collapsed="false">
      <c r="A95" s="128" t="n">
        <v>86</v>
      </c>
      <c r="B95" s="123"/>
      <c r="C95" s="124"/>
      <c r="D95" s="124"/>
      <c r="E95" s="124"/>
      <c r="F95" s="125"/>
      <c r="G95" s="124"/>
      <c r="H95" s="124"/>
      <c r="I95" s="124"/>
      <c r="J95" s="123"/>
      <c r="K95" s="125"/>
      <c r="L95" s="123"/>
      <c r="M95" s="126" t="str">
        <f aca="true">IF(OR(B95="",K95="Realizado"),"",TODAY()-B95)</f>
        <v/>
      </c>
      <c r="N95" s="124"/>
    </row>
    <row r="96" customFormat="false" ht="15" hidden="false" customHeight="false" outlineLevel="0" collapsed="false">
      <c r="A96" s="128" t="n">
        <v>87</v>
      </c>
      <c r="B96" s="123"/>
      <c r="C96" s="124"/>
      <c r="D96" s="124"/>
      <c r="E96" s="124"/>
      <c r="F96" s="125"/>
      <c r="G96" s="124"/>
      <c r="H96" s="124"/>
      <c r="I96" s="124"/>
      <c r="J96" s="123"/>
      <c r="K96" s="125"/>
      <c r="L96" s="123"/>
      <c r="M96" s="126" t="str">
        <f aca="true">IF(OR(B96="",K96="Realizado"),"",TODAY()-B96)</f>
        <v/>
      </c>
      <c r="N96" s="124"/>
    </row>
    <row r="97" customFormat="false" ht="15" hidden="false" customHeight="false" outlineLevel="0" collapsed="false">
      <c r="A97" s="128" t="n">
        <v>88</v>
      </c>
      <c r="B97" s="123"/>
      <c r="C97" s="124"/>
      <c r="D97" s="124"/>
      <c r="E97" s="124"/>
      <c r="F97" s="125"/>
      <c r="G97" s="124"/>
      <c r="H97" s="124"/>
      <c r="I97" s="124"/>
      <c r="J97" s="123"/>
      <c r="K97" s="125"/>
      <c r="L97" s="123"/>
      <c r="M97" s="126" t="str">
        <f aca="true">IF(OR(B97="",K97="Realizado"),"",TODAY()-B97)</f>
        <v/>
      </c>
      <c r="N97" s="124"/>
    </row>
    <row r="98" customFormat="false" ht="15" hidden="false" customHeight="false" outlineLevel="0" collapsed="false">
      <c r="A98" s="128" t="n">
        <v>89</v>
      </c>
      <c r="B98" s="123"/>
      <c r="C98" s="124"/>
      <c r="D98" s="124"/>
      <c r="E98" s="124"/>
      <c r="F98" s="125"/>
      <c r="G98" s="124"/>
      <c r="H98" s="124"/>
      <c r="I98" s="124"/>
      <c r="J98" s="123"/>
      <c r="K98" s="125"/>
      <c r="L98" s="123"/>
      <c r="M98" s="126" t="str">
        <f aca="true">IF(OR(B98="",K98="Realizado"),"",TODAY()-B98)</f>
        <v/>
      </c>
      <c r="N98" s="124"/>
    </row>
    <row r="99" customFormat="false" ht="15" hidden="false" customHeight="false" outlineLevel="0" collapsed="false">
      <c r="A99" s="128" t="n">
        <v>90</v>
      </c>
      <c r="B99" s="123"/>
      <c r="C99" s="124"/>
      <c r="D99" s="124"/>
      <c r="E99" s="124"/>
      <c r="F99" s="125"/>
      <c r="G99" s="124"/>
      <c r="H99" s="124"/>
      <c r="I99" s="124"/>
      <c r="J99" s="123"/>
      <c r="K99" s="125"/>
      <c r="L99" s="123"/>
      <c r="M99" s="126" t="str">
        <f aca="true">IF(OR(B99="",K99="Realizado"),"",TODAY()-B99)</f>
        <v/>
      </c>
      <c r="N99" s="124"/>
    </row>
    <row r="100" customFormat="false" ht="15" hidden="false" customHeight="false" outlineLevel="0" collapsed="false">
      <c r="A100" s="128" t="n">
        <v>91</v>
      </c>
      <c r="B100" s="123"/>
      <c r="C100" s="124"/>
      <c r="D100" s="124"/>
      <c r="E100" s="124"/>
      <c r="F100" s="125"/>
      <c r="G100" s="124"/>
      <c r="H100" s="124"/>
      <c r="I100" s="124"/>
      <c r="J100" s="123"/>
      <c r="K100" s="125"/>
      <c r="L100" s="123"/>
      <c r="M100" s="126" t="str">
        <f aca="true">IF(OR(B100="",K100="Realizado"),"",TODAY()-B100)</f>
        <v/>
      </c>
      <c r="N100" s="124"/>
    </row>
    <row r="101" customFormat="false" ht="15" hidden="false" customHeight="false" outlineLevel="0" collapsed="false">
      <c r="A101" s="128" t="n">
        <v>92</v>
      </c>
      <c r="B101" s="123"/>
      <c r="C101" s="124"/>
      <c r="D101" s="124"/>
      <c r="E101" s="124"/>
      <c r="F101" s="125"/>
      <c r="G101" s="124"/>
      <c r="H101" s="124"/>
      <c r="I101" s="124"/>
      <c r="J101" s="123"/>
      <c r="K101" s="125"/>
      <c r="L101" s="123"/>
      <c r="M101" s="126" t="str">
        <f aca="true">IF(OR(B101="",K101="Realizado"),"",TODAY()-B101)</f>
        <v/>
      </c>
      <c r="N101" s="124"/>
    </row>
    <row r="102" customFormat="false" ht="15" hidden="false" customHeight="false" outlineLevel="0" collapsed="false">
      <c r="A102" s="128" t="n">
        <v>93</v>
      </c>
      <c r="B102" s="123"/>
      <c r="C102" s="124"/>
      <c r="D102" s="124"/>
      <c r="E102" s="124"/>
      <c r="F102" s="125"/>
      <c r="G102" s="124"/>
      <c r="H102" s="124"/>
      <c r="I102" s="124"/>
      <c r="J102" s="123"/>
      <c r="K102" s="125"/>
      <c r="L102" s="123"/>
      <c r="M102" s="126" t="str">
        <f aca="true">IF(OR(B102="",K102="Realizado"),"",TODAY()-B102)</f>
        <v/>
      </c>
      <c r="N102" s="124"/>
    </row>
    <row r="103" customFormat="false" ht="15" hidden="false" customHeight="false" outlineLevel="0" collapsed="false">
      <c r="A103" s="128" t="n">
        <v>94</v>
      </c>
      <c r="B103" s="123"/>
      <c r="C103" s="124"/>
      <c r="D103" s="124"/>
      <c r="E103" s="124"/>
      <c r="F103" s="125"/>
      <c r="G103" s="124"/>
      <c r="H103" s="124"/>
      <c r="I103" s="124"/>
      <c r="J103" s="123"/>
      <c r="K103" s="125"/>
      <c r="L103" s="123"/>
      <c r="M103" s="126" t="str">
        <f aca="true">IF(OR(B103="",K103="Realizado"),"",TODAY()-B103)</f>
        <v/>
      </c>
      <c r="N103" s="124"/>
    </row>
    <row r="104" customFormat="false" ht="15" hidden="false" customHeight="false" outlineLevel="0" collapsed="false">
      <c r="A104" s="128" t="n">
        <v>95</v>
      </c>
      <c r="B104" s="123"/>
      <c r="C104" s="124"/>
      <c r="D104" s="124"/>
      <c r="E104" s="124"/>
      <c r="F104" s="125"/>
      <c r="G104" s="124"/>
      <c r="H104" s="124"/>
      <c r="I104" s="124"/>
      <c r="J104" s="123"/>
      <c r="K104" s="125"/>
      <c r="L104" s="123"/>
      <c r="M104" s="126" t="str">
        <f aca="true">IF(OR(B104="",K104="Realizado"),"",TODAY()-B104)</f>
        <v/>
      </c>
      <c r="N104" s="124"/>
    </row>
    <row r="105" customFormat="false" ht="15" hidden="false" customHeight="false" outlineLevel="0" collapsed="false">
      <c r="A105" s="128" t="n">
        <v>96</v>
      </c>
      <c r="B105" s="123"/>
      <c r="C105" s="124"/>
      <c r="D105" s="124"/>
      <c r="E105" s="124"/>
      <c r="F105" s="125"/>
      <c r="G105" s="124"/>
      <c r="H105" s="124"/>
      <c r="I105" s="124"/>
      <c r="J105" s="123"/>
      <c r="K105" s="125"/>
      <c r="L105" s="123"/>
      <c r="M105" s="126" t="str">
        <f aca="true">IF(OR(B105="",K105="Realizado"),"",TODAY()-B105)</f>
        <v/>
      </c>
      <c r="N105" s="124"/>
    </row>
    <row r="106" customFormat="false" ht="15" hidden="false" customHeight="false" outlineLevel="0" collapsed="false">
      <c r="A106" s="128" t="n">
        <v>97</v>
      </c>
      <c r="B106" s="123"/>
      <c r="C106" s="124"/>
      <c r="D106" s="124"/>
      <c r="E106" s="124"/>
      <c r="F106" s="125"/>
      <c r="G106" s="124"/>
      <c r="H106" s="124"/>
      <c r="I106" s="124"/>
      <c r="J106" s="123"/>
      <c r="K106" s="125"/>
      <c r="L106" s="123"/>
      <c r="M106" s="126" t="str">
        <f aca="true">IF(OR(B106="",K106="Realizado"),"",TODAY()-B106)</f>
        <v/>
      </c>
      <c r="N106" s="124"/>
    </row>
    <row r="107" customFormat="false" ht="15" hidden="false" customHeight="false" outlineLevel="0" collapsed="false">
      <c r="A107" s="128" t="n">
        <v>98</v>
      </c>
      <c r="B107" s="123"/>
      <c r="C107" s="124"/>
      <c r="D107" s="124"/>
      <c r="E107" s="124"/>
      <c r="F107" s="125"/>
      <c r="G107" s="124"/>
      <c r="H107" s="124"/>
      <c r="I107" s="124"/>
      <c r="J107" s="123"/>
      <c r="K107" s="125"/>
      <c r="L107" s="123"/>
      <c r="M107" s="126" t="str">
        <f aca="true">IF(OR(B107="",K107="Realizado"),"",TODAY()-B107)</f>
        <v/>
      </c>
      <c r="N107" s="124"/>
    </row>
    <row r="108" customFormat="false" ht="15" hidden="false" customHeight="false" outlineLevel="0" collapsed="false">
      <c r="A108" s="128" t="n">
        <v>99</v>
      </c>
      <c r="B108" s="123"/>
      <c r="C108" s="124"/>
      <c r="D108" s="124"/>
      <c r="E108" s="124"/>
      <c r="F108" s="125"/>
      <c r="G108" s="124"/>
      <c r="H108" s="124"/>
      <c r="I108" s="124"/>
      <c r="J108" s="123"/>
      <c r="K108" s="125"/>
      <c r="L108" s="123"/>
      <c r="M108" s="126" t="str">
        <f aca="true">IF(OR(B108="",K108="Realizado"),"",TODAY()-B108)</f>
        <v/>
      </c>
      <c r="N108" s="124"/>
    </row>
    <row r="109" customFormat="false" ht="15" hidden="false" customHeight="false" outlineLevel="0" collapsed="false">
      <c r="A109" s="128" t="n">
        <v>100</v>
      </c>
      <c r="B109" s="123"/>
      <c r="C109" s="124"/>
      <c r="D109" s="124"/>
      <c r="E109" s="124"/>
      <c r="F109" s="125"/>
      <c r="G109" s="124"/>
      <c r="H109" s="124"/>
      <c r="I109" s="124"/>
      <c r="J109" s="123"/>
      <c r="K109" s="125"/>
      <c r="L109" s="123"/>
      <c r="M109" s="126" t="str">
        <f aca="true">IF(OR(B109="",K109="Realizado"),"",TODAY()-B109)</f>
        <v/>
      </c>
      <c r="N109" s="124"/>
    </row>
    <row r="110" customFormat="false" ht="15" hidden="false" customHeight="false" outlineLevel="0" collapsed="false">
      <c r="A110" s="128" t="n">
        <v>101</v>
      </c>
      <c r="B110" s="123"/>
      <c r="C110" s="124"/>
      <c r="D110" s="124"/>
      <c r="E110" s="124"/>
      <c r="F110" s="125"/>
      <c r="G110" s="124"/>
      <c r="H110" s="124"/>
      <c r="I110" s="124"/>
      <c r="J110" s="123"/>
      <c r="K110" s="125"/>
      <c r="L110" s="123"/>
      <c r="M110" s="126" t="str">
        <f aca="true">IF(OR(B110="",K110="Realizado"),"",TODAY()-B110)</f>
        <v/>
      </c>
      <c r="N110" s="124"/>
    </row>
    <row r="111" customFormat="false" ht="15" hidden="false" customHeight="false" outlineLevel="0" collapsed="false">
      <c r="A111" s="128" t="n">
        <v>102</v>
      </c>
      <c r="B111" s="123"/>
      <c r="C111" s="124"/>
      <c r="D111" s="124"/>
      <c r="E111" s="124"/>
      <c r="F111" s="125"/>
      <c r="G111" s="124"/>
      <c r="H111" s="124"/>
      <c r="I111" s="124"/>
      <c r="J111" s="123"/>
      <c r="K111" s="125"/>
      <c r="L111" s="123"/>
      <c r="M111" s="126" t="str">
        <f aca="true">IF(OR(B111="",K111="Realizado"),"",TODAY()-B111)</f>
        <v/>
      </c>
      <c r="N111" s="124"/>
    </row>
    <row r="112" customFormat="false" ht="15" hidden="false" customHeight="false" outlineLevel="0" collapsed="false">
      <c r="A112" s="128" t="n">
        <v>103</v>
      </c>
      <c r="B112" s="123"/>
      <c r="C112" s="124"/>
      <c r="D112" s="124"/>
      <c r="E112" s="124"/>
      <c r="F112" s="125"/>
      <c r="G112" s="124"/>
      <c r="H112" s="124"/>
      <c r="I112" s="124"/>
      <c r="J112" s="123"/>
      <c r="K112" s="125"/>
      <c r="L112" s="123"/>
      <c r="M112" s="126" t="str">
        <f aca="true">IF(OR(B112="",K112="Realizado"),"",TODAY()-B112)</f>
        <v/>
      </c>
      <c r="N112" s="124"/>
    </row>
    <row r="113" customFormat="false" ht="15" hidden="false" customHeight="false" outlineLevel="0" collapsed="false">
      <c r="A113" s="128" t="n">
        <v>104</v>
      </c>
      <c r="B113" s="123"/>
      <c r="C113" s="124"/>
      <c r="D113" s="124"/>
      <c r="E113" s="124"/>
      <c r="F113" s="125"/>
      <c r="G113" s="124"/>
      <c r="H113" s="124"/>
      <c r="I113" s="124"/>
      <c r="J113" s="123"/>
      <c r="K113" s="125"/>
      <c r="L113" s="123"/>
      <c r="M113" s="126" t="str">
        <f aca="true">IF(OR(B113="",K113="Realizado"),"",TODAY()-B113)</f>
        <v/>
      </c>
      <c r="N113" s="124"/>
    </row>
    <row r="114" customFormat="false" ht="15" hidden="false" customHeight="false" outlineLevel="0" collapsed="false">
      <c r="A114" s="128" t="n">
        <v>105</v>
      </c>
      <c r="B114" s="123"/>
      <c r="C114" s="124"/>
      <c r="D114" s="124"/>
      <c r="E114" s="124"/>
      <c r="F114" s="125"/>
      <c r="G114" s="124"/>
      <c r="H114" s="124"/>
      <c r="I114" s="124"/>
      <c r="J114" s="123"/>
      <c r="K114" s="125"/>
      <c r="L114" s="123"/>
      <c r="M114" s="126" t="str">
        <f aca="true">IF(OR(B114="",K114="Realizado"),"",TODAY()-B114)</f>
        <v/>
      </c>
      <c r="N114" s="124"/>
    </row>
    <row r="115" customFormat="false" ht="15" hidden="false" customHeight="false" outlineLevel="0" collapsed="false">
      <c r="A115" s="128" t="n">
        <v>106</v>
      </c>
      <c r="B115" s="123"/>
      <c r="C115" s="124"/>
      <c r="D115" s="124"/>
      <c r="E115" s="124"/>
      <c r="F115" s="125"/>
      <c r="G115" s="124"/>
      <c r="H115" s="124"/>
      <c r="I115" s="124"/>
      <c r="J115" s="123"/>
      <c r="K115" s="125"/>
      <c r="L115" s="123"/>
      <c r="M115" s="126" t="str">
        <f aca="true">IF(OR(B115="",K115="Realizado"),"",TODAY()-B115)</f>
        <v/>
      </c>
      <c r="N115" s="124"/>
    </row>
    <row r="116" customFormat="false" ht="15" hidden="false" customHeight="false" outlineLevel="0" collapsed="false">
      <c r="A116" s="128" t="n">
        <v>107</v>
      </c>
      <c r="B116" s="123"/>
      <c r="C116" s="124"/>
      <c r="D116" s="124"/>
      <c r="E116" s="124"/>
      <c r="F116" s="125"/>
      <c r="G116" s="124"/>
      <c r="H116" s="124"/>
      <c r="I116" s="124"/>
      <c r="J116" s="123"/>
      <c r="K116" s="125"/>
      <c r="L116" s="123"/>
      <c r="M116" s="126" t="str">
        <f aca="true">IF(OR(B116="",K116="Realizado"),"",TODAY()-B116)</f>
        <v/>
      </c>
      <c r="N116" s="124"/>
    </row>
    <row r="117" customFormat="false" ht="15" hidden="false" customHeight="false" outlineLevel="0" collapsed="false">
      <c r="A117" s="128" t="n">
        <v>108</v>
      </c>
      <c r="B117" s="123"/>
      <c r="C117" s="124"/>
      <c r="D117" s="124"/>
      <c r="E117" s="124"/>
      <c r="F117" s="125"/>
      <c r="G117" s="124"/>
      <c r="H117" s="124"/>
      <c r="I117" s="124"/>
      <c r="J117" s="123"/>
      <c r="K117" s="125"/>
      <c r="L117" s="123"/>
      <c r="M117" s="126" t="str">
        <f aca="true">IF(OR(B117="",K117="Realizado"),"",TODAY()-B117)</f>
        <v/>
      </c>
      <c r="N117" s="124"/>
    </row>
    <row r="118" customFormat="false" ht="15" hidden="false" customHeight="false" outlineLevel="0" collapsed="false">
      <c r="A118" s="128" t="n">
        <v>109</v>
      </c>
      <c r="B118" s="123"/>
      <c r="C118" s="124"/>
      <c r="D118" s="124"/>
      <c r="E118" s="124"/>
      <c r="F118" s="125"/>
      <c r="G118" s="124"/>
      <c r="H118" s="124"/>
      <c r="I118" s="124"/>
      <c r="J118" s="123"/>
      <c r="K118" s="125"/>
      <c r="L118" s="123"/>
      <c r="M118" s="126" t="str">
        <f aca="true">IF(OR(B118="",K118="Realizado"),"",TODAY()-B118)</f>
        <v/>
      </c>
      <c r="N118" s="124"/>
    </row>
    <row r="119" customFormat="false" ht="15" hidden="false" customHeight="false" outlineLevel="0" collapsed="false">
      <c r="A119" s="128" t="n">
        <v>110</v>
      </c>
      <c r="B119" s="123"/>
      <c r="C119" s="124"/>
      <c r="D119" s="124"/>
      <c r="E119" s="124"/>
      <c r="F119" s="125"/>
      <c r="G119" s="124"/>
      <c r="H119" s="124"/>
      <c r="I119" s="124"/>
      <c r="J119" s="123"/>
      <c r="K119" s="125"/>
      <c r="L119" s="123"/>
      <c r="M119" s="126" t="str">
        <f aca="true">IF(OR(B119="",K119="Realizado"),"",TODAY()-B119)</f>
        <v/>
      </c>
      <c r="N119" s="124"/>
    </row>
    <row r="120" customFormat="false" ht="15" hidden="false" customHeight="false" outlineLevel="0" collapsed="false">
      <c r="A120" s="128" t="n">
        <v>111</v>
      </c>
      <c r="B120" s="123"/>
      <c r="C120" s="124"/>
      <c r="D120" s="124"/>
      <c r="E120" s="124"/>
      <c r="F120" s="125"/>
      <c r="G120" s="124"/>
      <c r="H120" s="124"/>
      <c r="I120" s="124"/>
      <c r="J120" s="123"/>
      <c r="K120" s="125"/>
      <c r="L120" s="123"/>
      <c r="M120" s="126" t="str">
        <f aca="true">IF(OR(B120="",K120="Realizado"),"",TODAY()-B120)</f>
        <v/>
      </c>
      <c r="N120" s="124"/>
    </row>
    <row r="121" customFormat="false" ht="15" hidden="false" customHeight="false" outlineLevel="0" collapsed="false">
      <c r="A121" s="128" t="n">
        <v>112</v>
      </c>
      <c r="B121" s="123"/>
      <c r="C121" s="124"/>
      <c r="D121" s="124"/>
      <c r="E121" s="124"/>
      <c r="F121" s="125"/>
      <c r="G121" s="124"/>
      <c r="H121" s="124"/>
      <c r="I121" s="124"/>
      <c r="J121" s="123"/>
      <c r="K121" s="125"/>
      <c r="L121" s="123"/>
      <c r="M121" s="126" t="str">
        <f aca="true">IF(OR(B121="",K121="Realizado"),"",TODAY()-B121)</f>
        <v/>
      </c>
      <c r="N121" s="124"/>
    </row>
    <row r="122" customFormat="false" ht="15" hidden="false" customHeight="false" outlineLevel="0" collapsed="false">
      <c r="A122" s="128" t="n">
        <v>113</v>
      </c>
      <c r="B122" s="123"/>
      <c r="C122" s="124"/>
      <c r="D122" s="124"/>
      <c r="E122" s="124"/>
      <c r="F122" s="125"/>
      <c r="G122" s="124"/>
      <c r="H122" s="124"/>
      <c r="I122" s="124"/>
      <c r="J122" s="123"/>
      <c r="K122" s="125"/>
      <c r="L122" s="123"/>
      <c r="M122" s="126" t="str">
        <f aca="true">IF(OR(B122="",K122="Realizado"),"",TODAY()-B122)</f>
        <v/>
      </c>
      <c r="N122" s="124"/>
    </row>
    <row r="123" customFormat="false" ht="15" hidden="false" customHeight="false" outlineLevel="0" collapsed="false">
      <c r="A123" s="128" t="n">
        <v>114</v>
      </c>
      <c r="B123" s="123"/>
      <c r="C123" s="124"/>
      <c r="D123" s="124"/>
      <c r="E123" s="124"/>
      <c r="F123" s="125"/>
      <c r="G123" s="124"/>
      <c r="H123" s="124"/>
      <c r="I123" s="124"/>
      <c r="J123" s="123"/>
      <c r="K123" s="125"/>
      <c r="L123" s="123"/>
      <c r="M123" s="126" t="str">
        <f aca="true">IF(OR(B123="",K123="Realizado"),"",TODAY()-B123)</f>
        <v/>
      </c>
      <c r="N123" s="124"/>
    </row>
    <row r="124" customFormat="false" ht="15" hidden="false" customHeight="false" outlineLevel="0" collapsed="false">
      <c r="A124" s="128" t="n">
        <v>115</v>
      </c>
      <c r="B124" s="123"/>
      <c r="C124" s="124"/>
      <c r="D124" s="124"/>
      <c r="E124" s="124"/>
      <c r="F124" s="125"/>
      <c r="G124" s="124"/>
      <c r="H124" s="124"/>
      <c r="I124" s="124"/>
      <c r="J124" s="123"/>
      <c r="K124" s="125"/>
      <c r="L124" s="123"/>
      <c r="M124" s="126" t="str">
        <f aca="true">IF(OR(B124="",K124="Realizado"),"",TODAY()-B124)</f>
        <v/>
      </c>
      <c r="N124" s="124"/>
    </row>
    <row r="125" customFormat="false" ht="15" hidden="false" customHeight="false" outlineLevel="0" collapsed="false">
      <c r="A125" s="128" t="n">
        <v>116</v>
      </c>
      <c r="B125" s="123"/>
      <c r="C125" s="124"/>
      <c r="D125" s="124"/>
      <c r="E125" s="124"/>
      <c r="F125" s="125"/>
      <c r="G125" s="124"/>
      <c r="H125" s="124"/>
      <c r="I125" s="124"/>
      <c r="J125" s="123"/>
      <c r="K125" s="125"/>
      <c r="L125" s="123"/>
      <c r="M125" s="126" t="str">
        <f aca="true">IF(OR(B125="",K125="Realizado"),"",TODAY()-B125)</f>
        <v/>
      </c>
      <c r="N125" s="124"/>
    </row>
    <row r="126" customFormat="false" ht="15" hidden="false" customHeight="false" outlineLevel="0" collapsed="false">
      <c r="A126" s="128" t="n">
        <v>117</v>
      </c>
      <c r="B126" s="123"/>
      <c r="C126" s="124"/>
      <c r="D126" s="124"/>
      <c r="E126" s="124"/>
      <c r="F126" s="125"/>
      <c r="G126" s="124"/>
      <c r="H126" s="124"/>
      <c r="I126" s="124"/>
      <c r="J126" s="123"/>
      <c r="K126" s="125"/>
      <c r="L126" s="123"/>
      <c r="M126" s="126" t="str">
        <f aca="true">IF(OR(B126="",K126="Realizado"),"",TODAY()-B126)</f>
        <v/>
      </c>
      <c r="N126" s="124"/>
    </row>
    <row r="127" customFormat="false" ht="15" hidden="false" customHeight="false" outlineLevel="0" collapsed="false">
      <c r="A127" s="128" t="n">
        <v>118</v>
      </c>
      <c r="B127" s="123"/>
      <c r="C127" s="124"/>
      <c r="D127" s="124"/>
      <c r="E127" s="124"/>
      <c r="F127" s="125"/>
      <c r="G127" s="124"/>
      <c r="H127" s="124"/>
      <c r="I127" s="124"/>
      <c r="J127" s="123"/>
      <c r="K127" s="125"/>
      <c r="L127" s="123"/>
      <c r="M127" s="126" t="str">
        <f aca="true">IF(OR(B127="",K127="Realizado"),"",TODAY()-B127)</f>
        <v/>
      </c>
      <c r="N127" s="124"/>
    </row>
    <row r="128" customFormat="false" ht="15" hidden="false" customHeight="false" outlineLevel="0" collapsed="false">
      <c r="A128" s="128" t="n">
        <v>119</v>
      </c>
      <c r="B128" s="123"/>
      <c r="C128" s="124"/>
      <c r="D128" s="124"/>
      <c r="E128" s="124"/>
      <c r="F128" s="125"/>
      <c r="G128" s="124"/>
      <c r="H128" s="124"/>
      <c r="I128" s="124"/>
      <c r="J128" s="123"/>
      <c r="K128" s="125"/>
      <c r="L128" s="123"/>
      <c r="M128" s="126" t="str">
        <f aca="true">IF(OR(B128="",K128="Realizado"),"",TODAY()-B128)</f>
        <v/>
      </c>
      <c r="N128" s="124"/>
    </row>
    <row r="129" customFormat="false" ht="15" hidden="false" customHeight="false" outlineLevel="0" collapsed="false">
      <c r="A129" s="128" t="n">
        <v>120</v>
      </c>
      <c r="B129" s="123"/>
      <c r="C129" s="124"/>
      <c r="D129" s="124"/>
      <c r="E129" s="124"/>
      <c r="F129" s="125"/>
      <c r="G129" s="124"/>
      <c r="H129" s="124"/>
      <c r="I129" s="124"/>
      <c r="J129" s="123"/>
      <c r="K129" s="125"/>
      <c r="L129" s="123"/>
      <c r="M129" s="126" t="str">
        <f aca="true">IF(OR(B129="",K129="Realizado"),"",TODAY()-B129)</f>
        <v/>
      </c>
      <c r="N129" s="124"/>
    </row>
    <row r="130" customFormat="false" ht="15" hidden="false" customHeight="false" outlineLevel="0" collapsed="false">
      <c r="A130" s="128" t="n">
        <v>121</v>
      </c>
      <c r="B130" s="123"/>
      <c r="C130" s="124"/>
      <c r="D130" s="124"/>
      <c r="E130" s="124"/>
      <c r="F130" s="125"/>
      <c r="G130" s="124"/>
      <c r="H130" s="124"/>
      <c r="I130" s="124"/>
      <c r="J130" s="123"/>
      <c r="K130" s="125"/>
      <c r="L130" s="123"/>
      <c r="M130" s="126" t="str">
        <f aca="true">IF(OR(B130="",K130="Realizado"),"",TODAY()-B130)</f>
        <v/>
      </c>
      <c r="N130" s="124"/>
    </row>
    <row r="131" customFormat="false" ht="15" hidden="false" customHeight="false" outlineLevel="0" collapsed="false">
      <c r="A131" s="128" t="n">
        <v>122</v>
      </c>
      <c r="B131" s="123"/>
      <c r="C131" s="124"/>
      <c r="D131" s="124"/>
      <c r="E131" s="124"/>
      <c r="F131" s="125"/>
      <c r="G131" s="124"/>
      <c r="H131" s="124"/>
      <c r="I131" s="124"/>
      <c r="J131" s="123"/>
      <c r="K131" s="125"/>
      <c r="L131" s="123"/>
      <c r="M131" s="126" t="str">
        <f aca="true">IF(OR(B131="",K131="Realizado"),"",TODAY()-B131)</f>
        <v/>
      </c>
      <c r="N131" s="124"/>
    </row>
    <row r="132" customFormat="false" ht="15" hidden="false" customHeight="false" outlineLevel="0" collapsed="false">
      <c r="A132" s="128" t="n">
        <v>123</v>
      </c>
      <c r="B132" s="123"/>
      <c r="C132" s="124"/>
      <c r="D132" s="124"/>
      <c r="E132" s="124"/>
      <c r="F132" s="125"/>
      <c r="G132" s="124"/>
      <c r="H132" s="124"/>
      <c r="I132" s="124"/>
      <c r="J132" s="123"/>
      <c r="K132" s="125"/>
      <c r="L132" s="123"/>
      <c r="M132" s="126" t="str">
        <f aca="true">IF(OR(B132="",K132="Realizado"),"",TODAY()-B132)</f>
        <v/>
      </c>
      <c r="N132" s="124"/>
    </row>
    <row r="133" customFormat="false" ht="15" hidden="false" customHeight="false" outlineLevel="0" collapsed="false">
      <c r="A133" s="128" t="n">
        <v>124</v>
      </c>
      <c r="B133" s="123"/>
      <c r="C133" s="124"/>
      <c r="D133" s="124"/>
      <c r="E133" s="124"/>
      <c r="F133" s="125"/>
      <c r="G133" s="124"/>
      <c r="H133" s="124"/>
      <c r="I133" s="124"/>
      <c r="J133" s="123"/>
      <c r="K133" s="125"/>
      <c r="L133" s="123"/>
      <c r="M133" s="126" t="str">
        <f aca="true">IF(OR(B133="",K133="Realizado"),"",TODAY()-B133)</f>
        <v/>
      </c>
      <c r="N133" s="124"/>
    </row>
    <row r="134" customFormat="false" ht="15" hidden="false" customHeight="false" outlineLevel="0" collapsed="false">
      <c r="A134" s="128" t="n">
        <v>125</v>
      </c>
      <c r="B134" s="123"/>
      <c r="C134" s="124"/>
      <c r="D134" s="124"/>
      <c r="E134" s="124"/>
      <c r="F134" s="125"/>
      <c r="G134" s="124"/>
      <c r="H134" s="124"/>
      <c r="I134" s="124"/>
      <c r="J134" s="123"/>
      <c r="K134" s="125"/>
      <c r="L134" s="123"/>
      <c r="M134" s="126" t="str">
        <f aca="true">IF(OR(B134="",K134="Realizado"),"",TODAY()-B134)</f>
        <v/>
      </c>
      <c r="N134" s="124"/>
    </row>
    <row r="135" customFormat="false" ht="15" hidden="false" customHeight="false" outlineLevel="0" collapsed="false">
      <c r="A135" s="128" t="n">
        <v>126</v>
      </c>
      <c r="B135" s="123"/>
      <c r="C135" s="124"/>
      <c r="D135" s="124"/>
      <c r="E135" s="124"/>
      <c r="F135" s="125"/>
      <c r="G135" s="124"/>
      <c r="H135" s="124"/>
      <c r="I135" s="124"/>
      <c r="J135" s="123"/>
      <c r="K135" s="125"/>
      <c r="L135" s="123"/>
      <c r="M135" s="126" t="str">
        <f aca="true">IF(OR(B135="",K135="Realizado"),"",TODAY()-B135)</f>
        <v/>
      </c>
      <c r="N135" s="124"/>
    </row>
    <row r="136" customFormat="false" ht="15" hidden="false" customHeight="false" outlineLevel="0" collapsed="false">
      <c r="A136" s="128" t="n">
        <v>127</v>
      </c>
      <c r="B136" s="123"/>
      <c r="C136" s="124"/>
      <c r="D136" s="124"/>
      <c r="E136" s="124"/>
      <c r="F136" s="125"/>
      <c r="G136" s="124"/>
      <c r="H136" s="124"/>
      <c r="I136" s="124"/>
      <c r="J136" s="123"/>
      <c r="K136" s="125"/>
      <c r="L136" s="123"/>
      <c r="M136" s="126" t="str">
        <f aca="true">IF(OR(B136="",K136="Realizado"),"",TODAY()-B136)</f>
        <v/>
      </c>
      <c r="N136" s="124"/>
    </row>
    <row r="137" customFormat="false" ht="15" hidden="false" customHeight="false" outlineLevel="0" collapsed="false">
      <c r="A137" s="128" t="n">
        <v>128</v>
      </c>
      <c r="B137" s="123"/>
      <c r="C137" s="124"/>
      <c r="D137" s="124"/>
      <c r="E137" s="124"/>
      <c r="F137" s="125"/>
      <c r="G137" s="124"/>
      <c r="H137" s="124"/>
      <c r="I137" s="124"/>
      <c r="J137" s="123"/>
      <c r="K137" s="125"/>
      <c r="L137" s="123"/>
      <c r="M137" s="126" t="str">
        <f aca="true">IF(OR(B137="",K137="Realizado"),"",TODAY()-B137)</f>
        <v/>
      </c>
      <c r="N137" s="124"/>
    </row>
    <row r="138" customFormat="false" ht="15" hidden="false" customHeight="false" outlineLevel="0" collapsed="false">
      <c r="A138" s="128" t="n">
        <v>129</v>
      </c>
      <c r="B138" s="123"/>
      <c r="C138" s="124"/>
      <c r="D138" s="124"/>
      <c r="E138" s="124"/>
      <c r="F138" s="125"/>
      <c r="G138" s="124"/>
      <c r="H138" s="124"/>
      <c r="I138" s="124"/>
      <c r="J138" s="123"/>
      <c r="K138" s="125"/>
      <c r="L138" s="123"/>
      <c r="M138" s="126" t="str">
        <f aca="true">IF(OR(B138="",K138="Realizado"),"",TODAY()-B138)</f>
        <v/>
      </c>
      <c r="N138" s="124"/>
    </row>
    <row r="139" customFormat="false" ht="15" hidden="false" customHeight="false" outlineLevel="0" collapsed="false">
      <c r="A139" s="128" t="n">
        <v>130</v>
      </c>
      <c r="B139" s="123"/>
      <c r="C139" s="124"/>
      <c r="D139" s="124"/>
      <c r="E139" s="124"/>
      <c r="F139" s="125"/>
      <c r="G139" s="124"/>
      <c r="H139" s="124"/>
      <c r="I139" s="124"/>
      <c r="J139" s="123"/>
      <c r="K139" s="125"/>
      <c r="L139" s="123"/>
      <c r="M139" s="126" t="str">
        <f aca="true">IF(OR(B139="",K139="Realizado"),"",TODAY()-B139)</f>
        <v/>
      </c>
      <c r="N139" s="124"/>
    </row>
    <row r="140" customFormat="false" ht="15" hidden="false" customHeight="false" outlineLevel="0" collapsed="false">
      <c r="A140" s="128" t="n">
        <v>131</v>
      </c>
      <c r="B140" s="123"/>
      <c r="C140" s="124"/>
      <c r="D140" s="124"/>
      <c r="E140" s="124"/>
      <c r="F140" s="125"/>
      <c r="G140" s="124"/>
      <c r="H140" s="124"/>
      <c r="I140" s="124"/>
      <c r="J140" s="123"/>
      <c r="K140" s="125"/>
      <c r="L140" s="123"/>
      <c r="M140" s="126" t="str">
        <f aca="true">IF(OR(B140="",K140="Realizado"),"",TODAY()-B140)</f>
        <v/>
      </c>
      <c r="N140" s="124"/>
    </row>
    <row r="141" customFormat="false" ht="15" hidden="false" customHeight="false" outlineLevel="0" collapsed="false">
      <c r="A141" s="128" t="n">
        <v>132</v>
      </c>
      <c r="B141" s="123"/>
      <c r="C141" s="124"/>
      <c r="D141" s="124"/>
      <c r="E141" s="124"/>
      <c r="F141" s="125"/>
      <c r="G141" s="124"/>
      <c r="H141" s="124"/>
      <c r="I141" s="124"/>
      <c r="J141" s="123"/>
      <c r="K141" s="125"/>
      <c r="L141" s="123"/>
      <c r="M141" s="126" t="str">
        <f aca="true">IF(OR(B141="",K141="Realizado"),"",TODAY()-B141)</f>
        <v/>
      </c>
      <c r="N141" s="124"/>
    </row>
    <row r="142" customFormat="false" ht="15" hidden="false" customHeight="false" outlineLevel="0" collapsed="false">
      <c r="A142" s="128" t="n">
        <v>133</v>
      </c>
      <c r="B142" s="123"/>
      <c r="C142" s="124"/>
      <c r="D142" s="124"/>
      <c r="E142" s="124"/>
      <c r="F142" s="125"/>
      <c r="G142" s="124"/>
      <c r="H142" s="124"/>
      <c r="I142" s="124"/>
      <c r="J142" s="123"/>
      <c r="K142" s="125"/>
      <c r="L142" s="123"/>
      <c r="M142" s="126" t="str">
        <f aca="true">IF(OR(B142="",K142="Realizado"),"",TODAY()-B142)</f>
        <v/>
      </c>
      <c r="N142" s="124"/>
    </row>
    <row r="143" customFormat="false" ht="15" hidden="false" customHeight="false" outlineLevel="0" collapsed="false">
      <c r="A143" s="128" t="n">
        <v>134</v>
      </c>
      <c r="B143" s="123"/>
      <c r="C143" s="124"/>
      <c r="D143" s="124"/>
      <c r="E143" s="124"/>
      <c r="F143" s="125"/>
      <c r="G143" s="124"/>
      <c r="H143" s="124"/>
      <c r="I143" s="124"/>
      <c r="J143" s="123"/>
      <c r="K143" s="125"/>
      <c r="L143" s="123"/>
      <c r="M143" s="126" t="str">
        <f aca="true">IF(OR(B143="",K143="Realizado"),"",TODAY()-B143)</f>
        <v/>
      </c>
      <c r="N143" s="124"/>
    </row>
    <row r="144" customFormat="false" ht="15" hidden="false" customHeight="false" outlineLevel="0" collapsed="false">
      <c r="A144" s="128" t="n">
        <v>135</v>
      </c>
      <c r="B144" s="123"/>
      <c r="C144" s="124"/>
      <c r="D144" s="124"/>
      <c r="E144" s="124"/>
      <c r="F144" s="125"/>
      <c r="G144" s="124"/>
      <c r="H144" s="124"/>
      <c r="I144" s="124"/>
      <c r="J144" s="123"/>
      <c r="K144" s="125"/>
      <c r="L144" s="123"/>
      <c r="M144" s="126" t="str">
        <f aca="true">IF(OR(B144="",K144="Realizado"),"",TODAY()-B144)</f>
        <v/>
      </c>
      <c r="N144" s="124"/>
    </row>
    <row r="145" customFormat="false" ht="15" hidden="false" customHeight="false" outlineLevel="0" collapsed="false">
      <c r="A145" s="128" t="n">
        <v>136</v>
      </c>
      <c r="B145" s="123"/>
      <c r="C145" s="124"/>
      <c r="D145" s="124"/>
      <c r="E145" s="124"/>
      <c r="F145" s="125"/>
      <c r="G145" s="124"/>
      <c r="H145" s="124"/>
      <c r="I145" s="124"/>
      <c r="J145" s="123"/>
      <c r="K145" s="125"/>
      <c r="L145" s="123"/>
      <c r="M145" s="126" t="str">
        <f aca="true">IF(OR(B145="",K145="Realizado"),"",TODAY()-B145)</f>
        <v/>
      </c>
      <c r="N145" s="124"/>
    </row>
    <row r="146" customFormat="false" ht="15" hidden="false" customHeight="false" outlineLevel="0" collapsed="false">
      <c r="A146" s="128" t="n">
        <v>137</v>
      </c>
      <c r="B146" s="123"/>
      <c r="C146" s="124"/>
      <c r="D146" s="124"/>
      <c r="E146" s="124"/>
      <c r="F146" s="125"/>
      <c r="G146" s="124"/>
      <c r="H146" s="124"/>
      <c r="I146" s="124"/>
      <c r="J146" s="123"/>
      <c r="K146" s="125"/>
      <c r="L146" s="123"/>
      <c r="M146" s="126" t="str">
        <f aca="true">IF(OR(B146="",K146="Realizado"),"",TODAY()-B146)</f>
        <v/>
      </c>
      <c r="N146" s="124"/>
    </row>
    <row r="147" customFormat="false" ht="15" hidden="false" customHeight="false" outlineLevel="0" collapsed="false">
      <c r="A147" s="128" t="n">
        <v>138</v>
      </c>
      <c r="B147" s="123"/>
      <c r="C147" s="124"/>
      <c r="D147" s="124"/>
      <c r="E147" s="124"/>
      <c r="F147" s="125"/>
      <c r="G147" s="124"/>
      <c r="H147" s="124"/>
      <c r="I147" s="124"/>
      <c r="J147" s="123"/>
      <c r="K147" s="125"/>
      <c r="L147" s="123"/>
      <c r="M147" s="126" t="str">
        <f aca="true">IF(OR(B147="",K147="Realizado"),"",TODAY()-B147)</f>
        <v/>
      </c>
      <c r="N147" s="124"/>
    </row>
    <row r="148" customFormat="false" ht="15" hidden="false" customHeight="false" outlineLevel="0" collapsed="false">
      <c r="A148" s="128" t="n">
        <v>139</v>
      </c>
      <c r="B148" s="123"/>
      <c r="C148" s="124"/>
      <c r="D148" s="124"/>
      <c r="E148" s="124"/>
      <c r="F148" s="125"/>
      <c r="G148" s="124"/>
      <c r="H148" s="124"/>
      <c r="I148" s="124"/>
      <c r="J148" s="123"/>
      <c r="K148" s="125"/>
      <c r="L148" s="123"/>
      <c r="M148" s="126" t="str">
        <f aca="true">IF(OR(B148="",K148="Realizado"),"",TODAY()-B148)</f>
        <v/>
      </c>
      <c r="N148" s="124"/>
    </row>
    <row r="149" customFormat="false" ht="15" hidden="false" customHeight="false" outlineLevel="0" collapsed="false">
      <c r="A149" s="128" t="n">
        <v>140</v>
      </c>
      <c r="B149" s="123"/>
      <c r="C149" s="124"/>
      <c r="D149" s="124"/>
      <c r="E149" s="124"/>
      <c r="F149" s="125"/>
      <c r="G149" s="124"/>
      <c r="H149" s="124"/>
      <c r="I149" s="124"/>
      <c r="J149" s="123"/>
      <c r="K149" s="125"/>
      <c r="L149" s="123"/>
      <c r="M149" s="126" t="str">
        <f aca="true">IF(OR(B149="",K149="Realizado"),"",TODAY()-B149)</f>
        <v/>
      </c>
      <c r="N149" s="124"/>
    </row>
    <row r="150" customFormat="false" ht="15" hidden="false" customHeight="false" outlineLevel="0" collapsed="false">
      <c r="A150" s="128" t="n">
        <v>141</v>
      </c>
      <c r="B150" s="123"/>
      <c r="C150" s="124"/>
      <c r="D150" s="124"/>
      <c r="E150" s="124"/>
      <c r="F150" s="125"/>
      <c r="G150" s="124"/>
      <c r="H150" s="124"/>
      <c r="I150" s="124"/>
      <c r="J150" s="123"/>
      <c r="K150" s="125"/>
      <c r="L150" s="123"/>
      <c r="M150" s="126" t="str">
        <f aca="true">IF(OR(B150="",K150="Realizado"),"",TODAY()-B150)</f>
        <v/>
      </c>
      <c r="N150" s="124"/>
    </row>
    <row r="151" customFormat="false" ht="15" hidden="false" customHeight="false" outlineLevel="0" collapsed="false">
      <c r="A151" s="128" t="n">
        <v>142</v>
      </c>
      <c r="B151" s="123"/>
      <c r="C151" s="124"/>
      <c r="D151" s="124"/>
      <c r="E151" s="124"/>
      <c r="F151" s="125"/>
      <c r="G151" s="124"/>
      <c r="H151" s="124"/>
      <c r="I151" s="124"/>
      <c r="J151" s="123"/>
      <c r="K151" s="125"/>
      <c r="L151" s="123"/>
      <c r="M151" s="126" t="str">
        <f aca="true">IF(OR(B151="",K151="Realizado"),"",TODAY()-B151)</f>
        <v/>
      </c>
      <c r="N151" s="124"/>
    </row>
    <row r="152" customFormat="false" ht="15" hidden="false" customHeight="false" outlineLevel="0" collapsed="false">
      <c r="A152" s="128" t="n">
        <v>143</v>
      </c>
      <c r="B152" s="123"/>
      <c r="C152" s="124"/>
      <c r="D152" s="124"/>
      <c r="E152" s="124"/>
      <c r="F152" s="125"/>
      <c r="G152" s="124"/>
      <c r="H152" s="124"/>
      <c r="I152" s="124"/>
      <c r="J152" s="123"/>
      <c r="K152" s="125"/>
      <c r="L152" s="123"/>
      <c r="M152" s="126" t="str">
        <f aca="true">IF(OR(B152="",K152="Realizado"),"",TODAY()-B152)</f>
        <v/>
      </c>
      <c r="N152" s="124"/>
    </row>
    <row r="153" customFormat="false" ht="15" hidden="false" customHeight="false" outlineLevel="0" collapsed="false">
      <c r="A153" s="128" t="n">
        <v>144</v>
      </c>
      <c r="B153" s="123"/>
      <c r="C153" s="124"/>
      <c r="D153" s="124"/>
      <c r="E153" s="124"/>
      <c r="F153" s="125"/>
      <c r="G153" s="124"/>
      <c r="H153" s="124"/>
      <c r="I153" s="124"/>
      <c r="J153" s="123"/>
      <c r="K153" s="125"/>
      <c r="L153" s="123"/>
      <c r="M153" s="126" t="str">
        <f aca="true">IF(OR(B153="",K153="Realizado"),"",TODAY()-B153)</f>
        <v/>
      </c>
      <c r="N153" s="124"/>
    </row>
    <row r="154" customFormat="false" ht="15" hidden="false" customHeight="false" outlineLevel="0" collapsed="false">
      <c r="A154" s="128" t="n">
        <v>145</v>
      </c>
      <c r="B154" s="123"/>
      <c r="C154" s="124"/>
      <c r="D154" s="124"/>
      <c r="E154" s="124"/>
      <c r="F154" s="125"/>
      <c r="G154" s="124"/>
      <c r="H154" s="124"/>
      <c r="I154" s="124"/>
      <c r="J154" s="123"/>
      <c r="K154" s="125"/>
      <c r="L154" s="123"/>
      <c r="M154" s="126" t="str">
        <f aca="true">IF(OR(B154="",K154="Realizado"),"",TODAY()-B154)</f>
        <v/>
      </c>
      <c r="N154" s="124"/>
    </row>
    <row r="155" customFormat="false" ht="15" hidden="false" customHeight="false" outlineLevel="0" collapsed="false">
      <c r="A155" s="128" t="n">
        <v>146</v>
      </c>
      <c r="B155" s="123"/>
      <c r="C155" s="124"/>
      <c r="D155" s="124"/>
      <c r="E155" s="124"/>
      <c r="F155" s="125"/>
      <c r="G155" s="124"/>
      <c r="H155" s="124"/>
      <c r="I155" s="124"/>
      <c r="J155" s="123"/>
      <c r="K155" s="125"/>
      <c r="L155" s="123"/>
      <c r="M155" s="126" t="str">
        <f aca="true">IF(OR(B155="",K155="Realizado"),"",TODAY()-B155)</f>
        <v/>
      </c>
      <c r="N155" s="124"/>
    </row>
    <row r="156" customFormat="false" ht="15" hidden="false" customHeight="false" outlineLevel="0" collapsed="false">
      <c r="A156" s="128" t="n">
        <v>147</v>
      </c>
      <c r="B156" s="123"/>
      <c r="C156" s="124"/>
      <c r="D156" s="124"/>
      <c r="E156" s="124"/>
      <c r="F156" s="125"/>
      <c r="G156" s="124"/>
      <c r="H156" s="124"/>
      <c r="I156" s="124"/>
      <c r="J156" s="123"/>
      <c r="K156" s="125"/>
      <c r="L156" s="123"/>
      <c r="M156" s="126" t="str">
        <f aca="true">IF(OR(B156="",K156="Realizado"),"",TODAY()-B156)</f>
        <v/>
      </c>
      <c r="N156" s="124"/>
    </row>
    <row r="157" customFormat="false" ht="15" hidden="false" customHeight="false" outlineLevel="0" collapsed="false">
      <c r="A157" s="128" t="n">
        <v>148</v>
      </c>
      <c r="B157" s="123"/>
      <c r="C157" s="124"/>
      <c r="D157" s="124"/>
      <c r="E157" s="124"/>
      <c r="F157" s="125"/>
      <c r="G157" s="124"/>
      <c r="H157" s="124"/>
      <c r="I157" s="124"/>
      <c r="J157" s="123"/>
      <c r="K157" s="125"/>
      <c r="L157" s="123"/>
      <c r="M157" s="126" t="str">
        <f aca="true">IF(OR(B157="",K157="Realizado"),"",TODAY()-B157)</f>
        <v/>
      </c>
      <c r="N157" s="124"/>
    </row>
    <row r="158" customFormat="false" ht="15" hidden="false" customHeight="false" outlineLevel="0" collapsed="false">
      <c r="A158" s="128" t="n">
        <v>149</v>
      </c>
      <c r="B158" s="123"/>
      <c r="C158" s="124"/>
      <c r="D158" s="124"/>
      <c r="E158" s="124"/>
      <c r="F158" s="125"/>
      <c r="G158" s="124"/>
      <c r="H158" s="124"/>
      <c r="I158" s="124"/>
      <c r="J158" s="123"/>
      <c r="K158" s="125"/>
      <c r="L158" s="123"/>
      <c r="M158" s="126" t="str">
        <f aca="true">IF(OR(B158="",K158="Realizado"),"",TODAY()-B158)</f>
        <v/>
      </c>
      <c r="N158" s="124"/>
    </row>
    <row r="159" customFormat="false" ht="15" hidden="false" customHeight="false" outlineLevel="0" collapsed="false">
      <c r="A159" s="128" t="n">
        <v>150</v>
      </c>
      <c r="B159" s="123"/>
      <c r="C159" s="124"/>
      <c r="D159" s="124"/>
      <c r="E159" s="124"/>
      <c r="F159" s="125"/>
      <c r="G159" s="124"/>
      <c r="H159" s="124"/>
      <c r="I159" s="124"/>
      <c r="J159" s="123"/>
      <c r="K159" s="125"/>
      <c r="L159" s="123"/>
      <c r="M159" s="126" t="str">
        <f aca="true">IF(OR(B159="",K159="Realizado"),"",TODAY()-B159)</f>
        <v/>
      </c>
      <c r="N159" s="124"/>
    </row>
    <row r="160" customFormat="false" ht="15" hidden="false" customHeight="false" outlineLevel="0" collapsed="false">
      <c r="A160" s="128" t="n">
        <v>151</v>
      </c>
      <c r="B160" s="123"/>
      <c r="C160" s="124"/>
      <c r="D160" s="124"/>
      <c r="E160" s="124"/>
      <c r="F160" s="125"/>
      <c r="G160" s="124"/>
      <c r="H160" s="124"/>
      <c r="I160" s="124"/>
      <c r="J160" s="123"/>
      <c r="K160" s="125"/>
      <c r="L160" s="123"/>
      <c r="M160" s="126" t="str">
        <f aca="true">IF(OR(B160="",K160="Realizado"),"",TODAY()-B160)</f>
        <v/>
      </c>
      <c r="N160" s="124"/>
    </row>
    <row r="161" customFormat="false" ht="15" hidden="false" customHeight="false" outlineLevel="0" collapsed="false">
      <c r="A161" s="128" t="n">
        <v>152</v>
      </c>
      <c r="B161" s="123"/>
      <c r="C161" s="124"/>
      <c r="D161" s="124"/>
      <c r="E161" s="124"/>
      <c r="F161" s="125"/>
      <c r="G161" s="124"/>
      <c r="H161" s="124"/>
      <c r="I161" s="124"/>
      <c r="J161" s="123"/>
      <c r="K161" s="125"/>
      <c r="L161" s="123"/>
      <c r="M161" s="126" t="str">
        <f aca="true">IF(OR(B161="",K161="Realizado"),"",TODAY()-B161)</f>
        <v/>
      </c>
      <c r="N161" s="124"/>
    </row>
    <row r="162" customFormat="false" ht="15" hidden="false" customHeight="false" outlineLevel="0" collapsed="false">
      <c r="A162" s="128" t="n">
        <v>153</v>
      </c>
      <c r="B162" s="123"/>
      <c r="C162" s="124"/>
      <c r="D162" s="124"/>
      <c r="E162" s="124"/>
      <c r="F162" s="125"/>
      <c r="G162" s="124"/>
      <c r="H162" s="124"/>
      <c r="I162" s="124"/>
      <c r="J162" s="123"/>
      <c r="K162" s="125"/>
      <c r="L162" s="123"/>
      <c r="M162" s="126" t="str">
        <f aca="true">IF(OR(B162="",K162="Realizado"),"",TODAY()-B162)</f>
        <v/>
      </c>
      <c r="N162" s="124"/>
    </row>
    <row r="163" customFormat="false" ht="15" hidden="false" customHeight="false" outlineLevel="0" collapsed="false">
      <c r="A163" s="128" t="n">
        <v>154</v>
      </c>
      <c r="B163" s="123"/>
      <c r="C163" s="124"/>
      <c r="D163" s="124"/>
      <c r="E163" s="124"/>
      <c r="F163" s="125"/>
      <c r="G163" s="124"/>
      <c r="H163" s="124"/>
      <c r="I163" s="124"/>
      <c r="J163" s="123"/>
      <c r="K163" s="125"/>
      <c r="L163" s="123"/>
      <c r="M163" s="126" t="str">
        <f aca="true">IF(OR(B163="",K163="Realizado"),"",TODAY()-B163)</f>
        <v/>
      </c>
      <c r="N163" s="124"/>
    </row>
    <row r="164" customFormat="false" ht="15" hidden="false" customHeight="false" outlineLevel="0" collapsed="false">
      <c r="A164" s="128" t="n">
        <v>155</v>
      </c>
      <c r="B164" s="123"/>
      <c r="C164" s="124"/>
      <c r="D164" s="124"/>
      <c r="E164" s="124"/>
      <c r="F164" s="125"/>
      <c r="G164" s="124"/>
      <c r="H164" s="124"/>
      <c r="I164" s="124"/>
      <c r="J164" s="123"/>
      <c r="K164" s="125"/>
      <c r="L164" s="123"/>
      <c r="M164" s="126" t="str">
        <f aca="true">IF(OR(B164="",K164="Realizado"),"",TODAY()-B164)</f>
        <v/>
      </c>
      <c r="N164" s="124"/>
    </row>
    <row r="165" customFormat="false" ht="15" hidden="false" customHeight="false" outlineLevel="0" collapsed="false">
      <c r="A165" s="128" t="n">
        <v>156</v>
      </c>
      <c r="B165" s="123"/>
      <c r="C165" s="124"/>
      <c r="D165" s="124"/>
      <c r="E165" s="124"/>
      <c r="F165" s="125"/>
      <c r="G165" s="124"/>
      <c r="H165" s="124"/>
      <c r="I165" s="124"/>
      <c r="J165" s="123"/>
      <c r="K165" s="125"/>
      <c r="L165" s="123"/>
      <c r="M165" s="126" t="str">
        <f aca="true">IF(OR(B165="",K165="Realizado"),"",TODAY()-B165)</f>
        <v/>
      </c>
      <c r="N165" s="124"/>
    </row>
    <row r="166" customFormat="false" ht="15" hidden="false" customHeight="false" outlineLevel="0" collapsed="false">
      <c r="A166" s="128" t="n">
        <v>157</v>
      </c>
      <c r="B166" s="123"/>
      <c r="C166" s="124"/>
      <c r="D166" s="124"/>
      <c r="E166" s="124"/>
      <c r="F166" s="125"/>
      <c r="G166" s="124"/>
      <c r="H166" s="124"/>
      <c r="I166" s="124"/>
      <c r="J166" s="123"/>
      <c r="K166" s="125"/>
      <c r="L166" s="123"/>
      <c r="M166" s="126" t="str">
        <f aca="true">IF(OR(B166="",K166="Realizado"),"",TODAY()-B166)</f>
        <v/>
      </c>
      <c r="N166" s="124"/>
    </row>
    <row r="167" customFormat="false" ht="15" hidden="false" customHeight="false" outlineLevel="0" collapsed="false">
      <c r="A167" s="128" t="n">
        <v>158</v>
      </c>
      <c r="B167" s="123"/>
      <c r="C167" s="124"/>
      <c r="D167" s="124"/>
      <c r="E167" s="124"/>
      <c r="F167" s="125"/>
      <c r="G167" s="124"/>
      <c r="H167" s="124"/>
      <c r="I167" s="124"/>
      <c r="J167" s="123"/>
      <c r="K167" s="125"/>
      <c r="L167" s="123"/>
      <c r="M167" s="126" t="str">
        <f aca="true">IF(OR(B167="",K167="Realizado"),"",TODAY()-B167)</f>
        <v/>
      </c>
      <c r="N167" s="124"/>
    </row>
    <row r="168" customFormat="false" ht="15" hidden="false" customHeight="false" outlineLevel="0" collapsed="false">
      <c r="A168" s="128" t="n">
        <v>159</v>
      </c>
      <c r="B168" s="123"/>
      <c r="C168" s="124"/>
      <c r="D168" s="124"/>
      <c r="E168" s="124"/>
      <c r="F168" s="125"/>
      <c r="G168" s="124"/>
      <c r="H168" s="124"/>
      <c r="I168" s="124"/>
      <c r="J168" s="123"/>
      <c r="K168" s="125"/>
      <c r="L168" s="123"/>
      <c r="M168" s="126" t="str">
        <f aca="true">IF(OR(B168="",K168="Realizado"),"",TODAY()-B168)</f>
        <v/>
      </c>
      <c r="N168" s="124"/>
    </row>
    <row r="169" customFormat="false" ht="15" hidden="false" customHeight="false" outlineLevel="0" collapsed="false">
      <c r="A169" s="128" t="n">
        <v>160</v>
      </c>
      <c r="B169" s="123"/>
      <c r="C169" s="124"/>
      <c r="D169" s="124"/>
      <c r="E169" s="124"/>
      <c r="F169" s="125"/>
      <c r="G169" s="124"/>
      <c r="H169" s="124"/>
      <c r="I169" s="124"/>
      <c r="J169" s="123"/>
      <c r="K169" s="125"/>
      <c r="L169" s="123"/>
      <c r="M169" s="126" t="str">
        <f aca="true">IF(OR(B169="",K169="Realizado"),"",TODAY()-B169)</f>
        <v/>
      </c>
      <c r="N169" s="124"/>
    </row>
    <row r="170" customFormat="false" ht="15" hidden="false" customHeight="false" outlineLevel="0" collapsed="false">
      <c r="A170" s="128" t="n">
        <v>161</v>
      </c>
      <c r="B170" s="123"/>
      <c r="C170" s="124"/>
      <c r="D170" s="124"/>
      <c r="E170" s="124"/>
      <c r="F170" s="125"/>
      <c r="G170" s="124"/>
      <c r="H170" s="124"/>
      <c r="I170" s="124"/>
      <c r="J170" s="123"/>
      <c r="K170" s="125"/>
      <c r="L170" s="123"/>
      <c r="M170" s="126" t="str">
        <f aca="true">IF(OR(B170="",K170="Realizado"),"",TODAY()-B170)</f>
        <v/>
      </c>
      <c r="N170" s="124"/>
    </row>
    <row r="171" customFormat="false" ht="15" hidden="false" customHeight="false" outlineLevel="0" collapsed="false">
      <c r="A171" s="128" t="n">
        <v>162</v>
      </c>
      <c r="B171" s="123"/>
      <c r="C171" s="124"/>
      <c r="D171" s="124"/>
      <c r="E171" s="124"/>
      <c r="F171" s="125"/>
      <c r="G171" s="124"/>
      <c r="H171" s="124"/>
      <c r="I171" s="124"/>
      <c r="J171" s="123"/>
      <c r="K171" s="125"/>
      <c r="L171" s="123"/>
      <c r="M171" s="126" t="str">
        <f aca="true">IF(OR(B171="",K171="Realizado"),"",TODAY()-B171)</f>
        <v/>
      </c>
      <c r="N171" s="124"/>
    </row>
    <row r="172" customFormat="false" ht="15" hidden="false" customHeight="false" outlineLevel="0" collapsed="false">
      <c r="A172" s="128" t="n">
        <v>163</v>
      </c>
      <c r="B172" s="123"/>
      <c r="C172" s="124"/>
      <c r="D172" s="124"/>
      <c r="E172" s="124"/>
      <c r="F172" s="125"/>
      <c r="G172" s="124"/>
      <c r="H172" s="124"/>
      <c r="I172" s="124"/>
      <c r="J172" s="123"/>
      <c r="K172" s="125"/>
      <c r="L172" s="123"/>
      <c r="M172" s="126" t="str">
        <f aca="true">IF(OR(B172="",K172="Realizado"),"",TODAY()-B172)</f>
        <v/>
      </c>
      <c r="N172" s="124"/>
    </row>
    <row r="173" customFormat="false" ht="15" hidden="false" customHeight="false" outlineLevel="0" collapsed="false">
      <c r="A173" s="128" t="n">
        <v>164</v>
      </c>
      <c r="B173" s="123"/>
      <c r="C173" s="124"/>
      <c r="D173" s="124"/>
      <c r="E173" s="124"/>
      <c r="F173" s="125"/>
      <c r="G173" s="124"/>
      <c r="H173" s="124"/>
      <c r="I173" s="124"/>
      <c r="J173" s="123"/>
      <c r="K173" s="125"/>
      <c r="L173" s="123"/>
      <c r="M173" s="126" t="str">
        <f aca="true">IF(OR(B173="",K173="Realizado"),"",TODAY()-B173)</f>
        <v/>
      </c>
      <c r="N173" s="124"/>
    </row>
    <row r="174" customFormat="false" ht="15" hidden="false" customHeight="false" outlineLevel="0" collapsed="false">
      <c r="A174" s="128" t="n">
        <v>165</v>
      </c>
      <c r="B174" s="123"/>
      <c r="C174" s="124"/>
      <c r="D174" s="124"/>
      <c r="E174" s="124"/>
      <c r="F174" s="125"/>
      <c r="G174" s="124"/>
      <c r="H174" s="124"/>
      <c r="I174" s="124"/>
      <c r="J174" s="123"/>
      <c r="K174" s="125"/>
      <c r="L174" s="123"/>
      <c r="M174" s="126" t="str">
        <f aca="true">IF(OR(B174="",K174="Realizado"),"",TODAY()-B174)</f>
        <v/>
      </c>
      <c r="N174" s="124"/>
    </row>
    <row r="175" customFormat="false" ht="15" hidden="false" customHeight="false" outlineLevel="0" collapsed="false">
      <c r="A175" s="128" t="n">
        <v>166</v>
      </c>
      <c r="B175" s="123"/>
      <c r="C175" s="124"/>
      <c r="D175" s="124"/>
      <c r="E175" s="124"/>
      <c r="F175" s="125"/>
      <c r="G175" s="124"/>
      <c r="H175" s="124"/>
      <c r="I175" s="124"/>
      <c r="J175" s="123"/>
      <c r="K175" s="125"/>
      <c r="L175" s="123"/>
      <c r="M175" s="126" t="str">
        <f aca="true">IF(OR(B175="",K175="Realizado"),"",TODAY()-B175)</f>
        <v/>
      </c>
      <c r="N175" s="124"/>
    </row>
    <row r="176" customFormat="false" ht="15" hidden="false" customHeight="false" outlineLevel="0" collapsed="false">
      <c r="A176" s="128" t="n">
        <v>167</v>
      </c>
      <c r="B176" s="123"/>
      <c r="C176" s="124"/>
      <c r="D176" s="124"/>
      <c r="E176" s="124"/>
      <c r="F176" s="125"/>
      <c r="G176" s="124"/>
      <c r="H176" s="124"/>
      <c r="I176" s="124"/>
      <c r="J176" s="123"/>
      <c r="K176" s="125"/>
      <c r="L176" s="123"/>
      <c r="M176" s="126" t="str">
        <f aca="true">IF(OR(B176="",K176="Realizado"),"",TODAY()-B176)</f>
        <v/>
      </c>
      <c r="N176" s="124"/>
    </row>
    <row r="177" customFormat="false" ht="15" hidden="false" customHeight="false" outlineLevel="0" collapsed="false">
      <c r="A177" s="128" t="n">
        <v>168</v>
      </c>
      <c r="B177" s="123"/>
      <c r="C177" s="124"/>
      <c r="D177" s="124"/>
      <c r="E177" s="124"/>
      <c r="F177" s="125"/>
      <c r="G177" s="124"/>
      <c r="H177" s="124"/>
      <c r="I177" s="124"/>
      <c r="J177" s="123"/>
      <c r="K177" s="125"/>
      <c r="L177" s="123"/>
      <c r="M177" s="126" t="str">
        <f aca="true">IF(OR(B177="",K177="Realizado"),"",TODAY()-B177)</f>
        <v/>
      </c>
      <c r="N177" s="124"/>
    </row>
    <row r="178" customFormat="false" ht="15" hidden="false" customHeight="false" outlineLevel="0" collapsed="false">
      <c r="A178" s="128" t="n">
        <v>169</v>
      </c>
      <c r="B178" s="123"/>
      <c r="C178" s="124"/>
      <c r="D178" s="124"/>
      <c r="E178" s="124"/>
      <c r="F178" s="125"/>
      <c r="G178" s="124"/>
      <c r="H178" s="124"/>
      <c r="I178" s="124"/>
      <c r="J178" s="123"/>
      <c r="K178" s="125"/>
      <c r="L178" s="123"/>
      <c r="M178" s="126" t="str">
        <f aca="true">IF(OR(B178="",K178="Realizado"),"",TODAY()-B178)</f>
        <v/>
      </c>
      <c r="N178" s="124"/>
    </row>
    <row r="179" customFormat="false" ht="15" hidden="false" customHeight="false" outlineLevel="0" collapsed="false">
      <c r="A179" s="128" t="n">
        <v>170</v>
      </c>
      <c r="B179" s="123"/>
      <c r="C179" s="124"/>
      <c r="D179" s="124"/>
      <c r="E179" s="124"/>
      <c r="F179" s="125"/>
      <c r="G179" s="124"/>
      <c r="H179" s="124"/>
      <c r="I179" s="124"/>
      <c r="J179" s="123"/>
      <c r="K179" s="125"/>
      <c r="L179" s="123"/>
      <c r="M179" s="126" t="str">
        <f aca="true">IF(OR(B179="",K179="Realizado"),"",TODAY()-B179)</f>
        <v/>
      </c>
      <c r="N179" s="124"/>
    </row>
    <row r="180" customFormat="false" ht="15" hidden="false" customHeight="false" outlineLevel="0" collapsed="false">
      <c r="A180" s="128" t="n">
        <v>171</v>
      </c>
      <c r="B180" s="123"/>
      <c r="C180" s="124"/>
      <c r="D180" s="124"/>
      <c r="E180" s="124"/>
      <c r="F180" s="125"/>
      <c r="G180" s="124"/>
      <c r="H180" s="124"/>
      <c r="I180" s="124"/>
      <c r="J180" s="123"/>
      <c r="K180" s="125"/>
      <c r="L180" s="123"/>
      <c r="M180" s="126" t="str">
        <f aca="true">IF(OR(B180="",K180="Realizado"),"",TODAY()-B180)</f>
        <v/>
      </c>
      <c r="N180" s="124"/>
    </row>
    <row r="181" customFormat="false" ht="15" hidden="false" customHeight="false" outlineLevel="0" collapsed="false">
      <c r="A181" s="128" t="n">
        <v>172</v>
      </c>
      <c r="B181" s="123"/>
      <c r="C181" s="124"/>
      <c r="D181" s="124"/>
      <c r="E181" s="124"/>
      <c r="F181" s="125"/>
      <c r="G181" s="124"/>
      <c r="H181" s="124"/>
      <c r="I181" s="124"/>
      <c r="J181" s="123"/>
      <c r="K181" s="125"/>
      <c r="L181" s="123"/>
      <c r="M181" s="126" t="str">
        <f aca="true">IF(OR(B181="",K181="Realizado"),"",TODAY()-B181)</f>
        <v/>
      </c>
      <c r="N181" s="124"/>
    </row>
    <row r="182" customFormat="false" ht="15" hidden="false" customHeight="false" outlineLevel="0" collapsed="false">
      <c r="A182" s="128" t="n">
        <v>173</v>
      </c>
      <c r="B182" s="123"/>
      <c r="C182" s="124"/>
      <c r="D182" s="124"/>
      <c r="E182" s="124"/>
      <c r="F182" s="125"/>
      <c r="G182" s="124"/>
      <c r="H182" s="124"/>
      <c r="I182" s="124"/>
      <c r="J182" s="123"/>
      <c r="K182" s="125"/>
      <c r="L182" s="123"/>
      <c r="M182" s="126" t="str">
        <f aca="true">IF(OR(B182="",K182="Realizado"),"",TODAY()-B182)</f>
        <v/>
      </c>
      <c r="N182" s="124"/>
    </row>
    <row r="183" customFormat="false" ht="15" hidden="false" customHeight="false" outlineLevel="0" collapsed="false">
      <c r="A183" s="128" t="n">
        <v>174</v>
      </c>
      <c r="B183" s="123"/>
      <c r="C183" s="124"/>
      <c r="D183" s="124"/>
      <c r="E183" s="124"/>
      <c r="F183" s="125"/>
      <c r="G183" s="124"/>
      <c r="H183" s="124"/>
      <c r="I183" s="124"/>
      <c r="J183" s="123"/>
      <c r="K183" s="125"/>
      <c r="L183" s="123"/>
      <c r="M183" s="126" t="str">
        <f aca="true">IF(OR(B183="",K183="Realizado"),"",TODAY()-B183)</f>
        <v/>
      </c>
      <c r="N183" s="124"/>
    </row>
    <row r="184" customFormat="false" ht="15" hidden="false" customHeight="false" outlineLevel="0" collapsed="false">
      <c r="A184" s="128" t="n">
        <v>175</v>
      </c>
      <c r="B184" s="123"/>
      <c r="C184" s="124"/>
      <c r="D184" s="124"/>
      <c r="E184" s="124"/>
      <c r="F184" s="125"/>
      <c r="G184" s="124"/>
      <c r="H184" s="124"/>
      <c r="I184" s="124"/>
      <c r="J184" s="123"/>
      <c r="K184" s="125"/>
      <c r="L184" s="123"/>
      <c r="M184" s="126" t="str">
        <f aca="true">IF(OR(B184="",K184="Realizado"),"",TODAY()-B184)</f>
        <v/>
      </c>
      <c r="N184" s="124"/>
    </row>
    <row r="185" customFormat="false" ht="15" hidden="false" customHeight="false" outlineLevel="0" collapsed="false">
      <c r="A185" s="128" t="n">
        <v>176</v>
      </c>
      <c r="B185" s="123"/>
      <c r="C185" s="124"/>
      <c r="D185" s="124"/>
      <c r="E185" s="124"/>
      <c r="F185" s="125"/>
      <c r="G185" s="124"/>
      <c r="H185" s="124"/>
      <c r="I185" s="124"/>
      <c r="J185" s="123"/>
      <c r="K185" s="125"/>
      <c r="L185" s="123"/>
      <c r="M185" s="126" t="str">
        <f aca="true">IF(OR(B185="",K185="Realizado"),"",TODAY()-B185)</f>
        <v/>
      </c>
      <c r="N185" s="124"/>
    </row>
    <row r="186" customFormat="false" ht="15" hidden="false" customHeight="false" outlineLevel="0" collapsed="false">
      <c r="A186" s="128" t="n">
        <v>177</v>
      </c>
      <c r="B186" s="123"/>
      <c r="C186" s="124"/>
      <c r="D186" s="124"/>
      <c r="E186" s="124"/>
      <c r="F186" s="125"/>
      <c r="G186" s="124"/>
      <c r="H186" s="124"/>
      <c r="I186" s="124"/>
      <c r="J186" s="123"/>
      <c r="K186" s="125"/>
      <c r="L186" s="123"/>
      <c r="M186" s="126" t="str">
        <f aca="true">IF(OR(B186="",K186="Realizado"),"",TODAY()-B186)</f>
        <v/>
      </c>
      <c r="N186" s="124"/>
    </row>
    <row r="187" customFormat="false" ht="15" hidden="false" customHeight="false" outlineLevel="0" collapsed="false">
      <c r="A187" s="128" t="n">
        <v>178</v>
      </c>
      <c r="B187" s="123"/>
      <c r="C187" s="124"/>
      <c r="D187" s="124"/>
      <c r="E187" s="124"/>
      <c r="F187" s="125"/>
      <c r="G187" s="124"/>
      <c r="H187" s="124"/>
      <c r="I187" s="124"/>
      <c r="J187" s="123"/>
      <c r="K187" s="125"/>
      <c r="L187" s="123"/>
      <c r="M187" s="126" t="str">
        <f aca="true">IF(OR(B187="",K187="Realizado"),"",TODAY()-B187)</f>
        <v/>
      </c>
      <c r="N187" s="124"/>
    </row>
    <row r="188" customFormat="false" ht="15" hidden="false" customHeight="false" outlineLevel="0" collapsed="false">
      <c r="A188" s="128" t="n">
        <v>179</v>
      </c>
      <c r="B188" s="123"/>
      <c r="C188" s="124"/>
      <c r="D188" s="124"/>
      <c r="E188" s="124"/>
      <c r="F188" s="125"/>
      <c r="G188" s="124"/>
      <c r="H188" s="124"/>
      <c r="I188" s="124"/>
      <c r="J188" s="123"/>
      <c r="K188" s="125"/>
      <c r="L188" s="123"/>
      <c r="M188" s="126" t="str">
        <f aca="true">IF(OR(B188="",K188="Realizado"),"",TODAY()-B188)</f>
        <v/>
      </c>
      <c r="N188" s="124"/>
    </row>
    <row r="189" customFormat="false" ht="15" hidden="false" customHeight="false" outlineLevel="0" collapsed="false">
      <c r="A189" s="128" t="n">
        <v>180</v>
      </c>
      <c r="B189" s="123"/>
      <c r="C189" s="124"/>
      <c r="D189" s="124"/>
      <c r="E189" s="124"/>
      <c r="F189" s="125"/>
      <c r="G189" s="124"/>
      <c r="H189" s="124"/>
      <c r="I189" s="124"/>
      <c r="J189" s="123"/>
      <c r="K189" s="125"/>
      <c r="L189" s="123"/>
      <c r="M189" s="126" t="str">
        <f aca="true">IF(OR(B189="",K189="Realizado"),"",TODAY()-B189)</f>
        <v/>
      </c>
      <c r="N189" s="124"/>
    </row>
    <row r="190" customFormat="false" ht="15" hidden="false" customHeight="false" outlineLevel="0" collapsed="false">
      <c r="A190" s="128" t="n">
        <v>181</v>
      </c>
      <c r="B190" s="123"/>
      <c r="C190" s="124"/>
      <c r="D190" s="124"/>
      <c r="E190" s="124"/>
      <c r="F190" s="125"/>
      <c r="G190" s="124"/>
      <c r="H190" s="124"/>
      <c r="I190" s="124"/>
      <c r="J190" s="123"/>
      <c r="K190" s="125"/>
      <c r="L190" s="123"/>
      <c r="M190" s="126" t="str">
        <f aca="true">IF(OR(B190="",K190="Realizado"),"",TODAY()-B190)</f>
        <v/>
      </c>
      <c r="N190" s="124"/>
    </row>
    <row r="191" customFormat="false" ht="15" hidden="false" customHeight="false" outlineLevel="0" collapsed="false">
      <c r="A191" s="128" t="n">
        <v>182</v>
      </c>
      <c r="B191" s="123"/>
      <c r="C191" s="124"/>
      <c r="D191" s="124"/>
      <c r="E191" s="124"/>
      <c r="F191" s="125"/>
      <c r="G191" s="124"/>
      <c r="H191" s="124"/>
      <c r="I191" s="124"/>
      <c r="J191" s="123"/>
      <c r="K191" s="125"/>
      <c r="L191" s="123"/>
      <c r="M191" s="126" t="str">
        <f aca="true">IF(OR(B191="",K191="Realizado"),"",TODAY()-B191)</f>
        <v/>
      </c>
      <c r="N191" s="124"/>
    </row>
    <row r="192" customFormat="false" ht="15" hidden="false" customHeight="false" outlineLevel="0" collapsed="false">
      <c r="A192" s="128" t="n">
        <v>183</v>
      </c>
      <c r="B192" s="123"/>
      <c r="C192" s="124"/>
      <c r="D192" s="124"/>
      <c r="E192" s="124"/>
      <c r="F192" s="125"/>
      <c r="G192" s="124"/>
      <c r="H192" s="124"/>
      <c r="I192" s="124"/>
      <c r="J192" s="123"/>
      <c r="K192" s="125"/>
      <c r="L192" s="123"/>
      <c r="M192" s="126" t="str">
        <f aca="true">IF(OR(B192="",K192="Realizado"),"",TODAY()-B192)</f>
        <v/>
      </c>
      <c r="N192" s="124"/>
    </row>
    <row r="193" customFormat="false" ht="15" hidden="false" customHeight="false" outlineLevel="0" collapsed="false">
      <c r="A193" s="128" t="n">
        <v>184</v>
      </c>
      <c r="B193" s="123"/>
      <c r="C193" s="124"/>
      <c r="D193" s="124"/>
      <c r="E193" s="124"/>
      <c r="F193" s="125"/>
      <c r="G193" s="124"/>
      <c r="H193" s="124"/>
      <c r="I193" s="124"/>
      <c r="J193" s="123"/>
      <c r="K193" s="125"/>
      <c r="L193" s="123"/>
      <c r="M193" s="126" t="str">
        <f aca="true">IF(OR(B193="",K193="Realizado"),"",TODAY()-B193)</f>
        <v/>
      </c>
      <c r="N193" s="124"/>
    </row>
    <row r="194" customFormat="false" ht="15" hidden="false" customHeight="false" outlineLevel="0" collapsed="false">
      <c r="A194" s="128" t="n">
        <v>185</v>
      </c>
      <c r="B194" s="123"/>
      <c r="C194" s="124"/>
      <c r="D194" s="124"/>
      <c r="E194" s="124"/>
      <c r="F194" s="125"/>
      <c r="G194" s="124"/>
      <c r="H194" s="124"/>
      <c r="I194" s="124"/>
      <c r="J194" s="123"/>
      <c r="K194" s="125"/>
      <c r="L194" s="123"/>
      <c r="M194" s="126" t="str">
        <f aca="true">IF(OR(B194="",K194="Realizado"),"",TODAY()-B194)</f>
        <v/>
      </c>
      <c r="N194" s="124"/>
    </row>
    <row r="195" customFormat="false" ht="15" hidden="false" customHeight="false" outlineLevel="0" collapsed="false">
      <c r="A195" s="128" t="n">
        <v>186</v>
      </c>
      <c r="B195" s="123"/>
      <c r="C195" s="124"/>
      <c r="D195" s="124"/>
      <c r="E195" s="124"/>
      <c r="F195" s="125"/>
      <c r="G195" s="124"/>
      <c r="H195" s="124"/>
      <c r="I195" s="124"/>
      <c r="J195" s="123"/>
      <c r="K195" s="125"/>
      <c r="L195" s="123"/>
      <c r="M195" s="126" t="str">
        <f aca="true">IF(OR(B195="",K195="Realizado"),"",TODAY()-B195)</f>
        <v/>
      </c>
      <c r="N195" s="124"/>
    </row>
    <row r="196" customFormat="false" ht="15" hidden="false" customHeight="false" outlineLevel="0" collapsed="false">
      <c r="A196" s="128" t="n">
        <v>187</v>
      </c>
      <c r="B196" s="123"/>
      <c r="C196" s="124"/>
      <c r="D196" s="124"/>
      <c r="E196" s="124"/>
      <c r="F196" s="125"/>
      <c r="G196" s="124"/>
      <c r="H196" s="124"/>
      <c r="I196" s="124"/>
      <c r="J196" s="123"/>
      <c r="K196" s="125"/>
      <c r="L196" s="123"/>
      <c r="M196" s="126" t="str">
        <f aca="true">IF(OR(B196="",K196="Realizado"),"",TODAY()-B196)</f>
        <v/>
      </c>
      <c r="N196" s="124"/>
    </row>
    <row r="197" customFormat="false" ht="15" hidden="false" customHeight="false" outlineLevel="0" collapsed="false">
      <c r="A197" s="128" t="n">
        <v>188</v>
      </c>
      <c r="B197" s="123"/>
      <c r="C197" s="124"/>
      <c r="D197" s="124"/>
      <c r="E197" s="124"/>
      <c r="F197" s="125"/>
      <c r="G197" s="124"/>
      <c r="H197" s="124"/>
      <c r="I197" s="124"/>
      <c r="J197" s="123"/>
      <c r="K197" s="125"/>
      <c r="L197" s="123"/>
      <c r="M197" s="126" t="str">
        <f aca="true">IF(OR(B197="",K197="Realizado"),"",TODAY()-B197)</f>
        <v/>
      </c>
      <c r="N197" s="124"/>
    </row>
    <row r="198" customFormat="false" ht="15" hidden="false" customHeight="false" outlineLevel="0" collapsed="false">
      <c r="A198" s="128" t="n">
        <v>189</v>
      </c>
      <c r="B198" s="123"/>
      <c r="C198" s="124"/>
      <c r="D198" s="124"/>
      <c r="E198" s="124"/>
      <c r="F198" s="125"/>
      <c r="G198" s="124"/>
      <c r="H198" s="124"/>
      <c r="I198" s="124"/>
      <c r="J198" s="123"/>
      <c r="K198" s="125"/>
      <c r="L198" s="123"/>
      <c r="M198" s="126" t="str">
        <f aca="true">IF(OR(B198="",K198="Realizado"),"",TODAY()-B198)</f>
        <v/>
      </c>
      <c r="N198" s="124"/>
    </row>
    <row r="199" customFormat="false" ht="15" hidden="false" customHeight="false" outlineLevel="0" collapsed="false">
      <c r="A199" s="128" t="n">
        <v>190</v>
      </c>
      <c r="B199" s="123"/>
      <c r="C199" s="124"/>
      <c r="D199" s="124"/>
      <c r="E199" s="124"/>
      <c r="F199" s="125"/>
      <c r="G199" s="124"/>
      <c r="H199" s="124"/>
      <c r="I199" s="124"/>
      <c r="J199" s="123"/>
      <c r="K199" s="125"/>
      <c r="L199" s="123"/>
      <c r="M199" s="126" t="str">
        <f aca="true">IF(OR(B199="",K199="Realizado"),"",TODAY()-B199)</f>
        <v/>
      </c>
      <c r="N199" s="124"/>
    </row>
    <row r="200" customFormat="false" ht="15" hidden="false" customHeight="false" outlineLevel="0" collapsed="false">
      <c r="A200" s="128" t="n">
        <v>191</v>
      </c>
      <c r="B200" s="123"/>
      <c r="C200" s="124"/>
      <c r="D200" s="124"/>
      <c r="E200" s="124"/>
      <c r="F200" s="125"/>
      <c r="G200" s="124"/>
      <c r="H200" s="124"/>
      <c r="I200" s="124"/>
      <c r="J200" s="123"/>
      <c r="K200" s="125"/>
      <c r="L200" s="123"/>
      <c r="M200" s="126" t="str">
        <f aca="true">IF(OR(B200="",K200="Realizado"),"",TODAY()-B200)</f>
        <v/>
      </c>
      <c r="N200" s="124"/>
    </row>
    <row r="201" customFormat="false" ht="15" hidden="false" customHeight="false" outlineLevel="0" collapsed="false">
      <c r="A201" s="128" t="n">
        <v>192</v>
      </c>
      <c r="B201" s="123"/>
      <c r="C201" s="124"/>
      <c r="D201" s="124"/>
      <c r="E201" s="124"/>
      <c r="F201" s="125"/>
      <c r="G201" s="124"/>
      <c r="H201" s="124"/>
      <c r="I201" s="124"/>
      <c r="J201" s="123"/>
      <c r="K201" s="125"/>
      <c r="L201" s="123"/>
      <c r="M201" s="126" t="str">
        <f aca="true">IF(OR(B201="",K201="Realizado"),"",TODAY()-B201)</f>
        <v/>
      </c>
      <c r="N201" s="124"/>
    </row>
    <row r="202" customFormat="false" ht="15" hidden="false" customHeight="false" outlineLevel="0" collapsed="false">
      <c r="A202" s="128" t="n">
        <v>193</v>
      </c>
      <c r="B202" s="123"/>
      <c r="C202" s="124"/>
      <c r="D202" s="124"/>
      <c r="E202" s="124"/>
      <c r="F202" s="125"/>
      <c r="G202" s="124"/>
      <c r="H202" s="124"/>
      <c r="I202" s="124"/>
      <c r="J202" s="123"/>
      <c r="K202" s="125"/>
      <c r="L202" s="123"/>
      <c r="M202" s="126" t="str">
        <f aca="true">IF(OR(B202="",K202="Realizado"),"",TODAY()-B202)</f>
        <v/>
      </c>
      <c r="N202" s="124"/>
    </row>
    <row r="203" customFormat="false" ht="15" hidden="false" customHeight="false" outlineLevel="0" collapsed="false">
      <c r="A203" s="128" t="n">
        <v>194</v>
      </c>
      <c r="B203" s="123"/>
      <c r="C203" s="124"/>
      <c r="D203" s="124"/>
      <c r="E203" s="124"/>
      <c r="F203" s="125"/>
      <c r="G203" s="124"/>
      <c r="H203" s="124"/>
      <c r="I203" s="124"/>
      <c r="J203" s="123"/>
      <c r="K203" s="125"/>
      <c r="L203" s="123"/>
      <c r="M203" s="126" t="str">
        <f aca="true">IF(OR(B203="",K203="Realizado"),"",TODAY()-B203)</f>
        <v/>
      </c>
      <c r="N203" s="124"/>
    </row>
    <row r="204" customFormat="false" ht="15" hidden="false" customHeight="false" outlineLevel="0" collapsed="false">
      <c r="A204" s="128" t="n">
        <v>195</v>
      </c>
      <c r="B204" s="123"/>
      <c r="C204" s="124"/>
      <c r="D204" s="124"/>
      <c r="E204" s="124"/>
      <c r="F204" s="125"/>
      <c r="G204" s="124"/>
      <c r="H204" s="124"/>
      <c r="I204" s="124"/>
      <c r="J204" s="123"/>
      <c r="K204" s="125"/>
      <c r="L204" s="123"/>
      <c r="M204" s="126" t="str">
        <f aca="true">IF(OR(B204="",K204="Realizado"),"",TODAY()-B204)</f>
        <v/>
      </c>
      <c r="N204" s="124"/>
    </row>
    <row r="205" customFormat="false" ht="15" hidden="false" customHeight="false" outlineLevel="0" collapsed="false">
      <c r="A205" s="128" t="n">
        <v>196</v>
      </c>
      <c r="B205" s="123"/>
      <c r="C205" s="124"/>
      <c r="D205" s="124"/>
      <c r="E205" s="124"/>
      <c r="F205" s="125"/>
      <c r="G205" s="124"/>
      <c r="H205" s="124"/>
      <c r="I205" s="124"/>
      <c r="J205" s="123"/>
      <c r="K205" s="125"/>
      <c r="L205" s="123"/>
      <c r="M205" s="126" t="str">
        <f aca="true">IF(OR(B205="",K205="Realizado"),"",TODAY()-B205)</f>
        <v/>
      </c>
      <c r="N205" s="124"/>
    </row>
    <row r="206" customFormat="false" ht="15" hidden="false" customHeight="false" outlineLevel="0" collapsed="false">
      <c r="A206" s="128" t="n">
        <v>197</v>
      </c>
      <c r="B206" s="123"/>
      <c r="C206" s="124"/>
      <c r="D206" s="124"/>
      <c r="E206" s="124"/>
      <c r="F206" s="125"/>
      <c r="G206" s="124"/>
      <c r="H206" s="124"/>
      <c r="I206" s="124"/>
      <c r="J206" s="123"/>
      <c r="K206" s="125"/>
      <c r="L206" s="123"/>
      <c r="M206" s="126" t="str">
        <f aca="true">IF(OR(B206="",K206="Realizado"),"",TODAY()-B206)</f>
        <v/>
      </c>
      <c r="N206" s="124"/>
    </row>
    <row r="207" customFormat="false" ht="15" hidden="false" customHeight="false" outlineLevel="0" collapsed="false">
      <c r="A207" s="128" t="n">
        <v>198</v>
      </c>
      <c r="B207" s="123"/>
      <c r="C207" s="124"/>
      <c r="D207" s="124"/>
      <c r="E207" s="124"/>
      <c r="F207" s="125"/>
      <c r="G207" s="124"/>
      <c r="H207" s="124"/>
      <c r="I207" s="124"/>
      <c r="J207" s="123"/>
      <c r="K207" s="125"/>
      <c r="L207" s="123"/>
      <c r="M207" s="126" t="str">
        <f aca="true">IF(OR(B207="",K207="Realizado"),"",TODAY()-B207)</f>
        <v/>
      </c>
      <c r="N207" s="124"/>
    </row>
    <row r="208" customFormat="false" ht="15" hidden="false" customHeight="false" outlineLevel="0" collapsed="false">
      <c r="A208" s="128" t="n">
        <v>199</v>
      </c>
      <c r="B208" s="123"/>
      <c r="C208" s="124"/>
      <c r="D208" s="124"/>
      <c r="E208" s="124"/>
      <c r="F208" s="125"/>
      <c r="G208" s="124"/>
      <c r="H208" s="124"/>
      <c r="I208" s="124"/>
      <c r="J208" s="123"/>
      <c r="K208" s="125"/>
      <c r="L208" s="123"/>
      <c r="M208" s="126" t="str">
        <f aca="true">IF(OR(B208="",K208="Realizado"),"",TODAY()-B208)</f>
        <v/>
      </c>
      <c r="N208" s="124"/>
    </row>
    <row r="209" customFormat="false" ht="15" hidden="false" customHeight="false" outlineLevel="0" collapsed="false">
      <c r="A209" s="128" t="n">
        <v>200</v>
      </c>
      <c r="B209" s="123"/>
      <c r="C209" s="124"/>
      <c r="D209" s="124"/>
      <c r="E209" s="124"/>
      <c r="F209" s="125"/>
      <c r="G209" s="124"/>
      <c r="H209" s="124"/>
      <c r="I209" s="124"/>
      <c r="J209" s="123"/>
      <c r="K209" s="125"/>
      <c r="L209" s="123"/>
      <c r="M209" s="126" t="str">
        <f aca="true">IF(OR(B209="",K209="Realizado"),"",TODAY()-B209)</f>
        <v/>
      </c>
      <c r="N209" s="124"/>
    </row>
  </sheetData>
  <autoFilter ref="A9:N209"/>
  <mergeCells count="11">
    <mergeCell ref="A1:N1"/>
    <mergeCell ref="A2:N2"/>
    <mergeCell ref="A3:N3"/>
    <mergeCell ref="A5:B5"/>
    <mergeCell ref="D5:E5"/>
    <mergeCell ref="G5:H5"/>
    <mergeCell ref="I5:J5"/>
    <mergeCell ref="A6:B6"/>
    <mergeCell ref="D6:E6"/>
    <mergeCell ref="G6:H6"/>
    <mergeCell ref="I6:J6"/>
  </mergeCells>
  <conditionalFormatting sqref="K10:K209">
    <cfRule type="expression" priority="2" aboveAverage="0" equalAverage="0" bottom="0" percent="0" rank="0" text="" dxfId="4">
      <formula>$K10="Realizado"</formula>
    </cfRule>
    <cfRule type="expression" priority="3" aboveAverage="0" equalAverage="0" bottom="0" percent="0" rank="0" text="" dxfId="2">
      <formula>$K10="Decidido"</formula>
    </cfRule>
    <cfRule type="expression" priority="4" aboveAverage="0" equalAverage="0" bottom="0" percent="0" rank="0" text="" dxfId="1">
      <formula>$K10="Pendiente de decisión"</formula>
    </cfRule>
  </conditionalFormatting>
  <conditionalFormatting sqref="J10:J209">
    <cfRule type="expression" priority="5" aboveAverage="0" equalAverage="0" bottom="0" percent="0" rank="0" text="" dxfId="17">
      <formula>AND($K10="Pendiente de decisión",ISNUMBER($J10),$J10&lt;TODAY())</formula>
    </cfRule>
  </conditionalFormatting>
  <dataValidations count="5">
    <dataValidation allowBlank="true" error="Introduzca una fecha válida." errorStyle="stop" operator="greaterThan" showDropDown="false" showErrorMessage="true" showInputMessage="false" sqref="B10:B209 J10:J209 L10:L209" type="date">
      <formula1>36526</formula1>
      <formula2>0</formula2>
    </dataValidation>
    <dataValidation allowBlank="true" errorStyle="stop" operator="between" showDropDown="false" showErrorMessage="false" showInputMessage="false" sqref="C10:C209" type="list">
      <formula1>Lista_obszarow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G10:G209" type="list">
      <formula1>Lista_powod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H10:H209" type="list">
      <formula1>Lista_decyzja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K10:K209" type="list">
      <formula1>Lista_statustagu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FE0"/>
    <pageSetUpPr fitToPage="true"/>
  </sheetPr>
  <dimension ref="A1:Q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15" min="4" style="0" width="7"/>
    <col collapsed="false" customWidth="true" hidden="false" outlineLevel="0" max="16" min="16" style="0" width="18"/>
  </cols>
  <sheetData>
    <row r="1" customFormat="false" ht="30" hidden="false" customHeight="true" outlineLevel="0" collapsed="false">
      <c r="A1" s="21" t="s">
        <v>417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customFormat="false" ht="30" hidden="false" customHeight="true" outlineLevel="0" collapsed="false">
      <c r="A2" s="22" t="s">
        <v>418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customFormat="false" ht="15" hidden="false" customHeight="false" outlineLevel="0" collapsed="false">
      <c r="A3" s="4" t="s">
        <v>419</v>
      </c>
      <c r="B3" s="129" t="n">
        <f aca="false">Año</f>
        <v>2026</v>
      </c>
    </row>
    <row r="4" customFormat="false" ht="15" hidden="false" customHeight="false" outlineLevel="0" collapsed="false">
      <c r="A4" s="130" t="s">
        <v>420</v>
      </c>
      <c r="D4" s="131" t="n">
        <f aca="false">DATE(Año,1,1)</f>
        <v>46023</v>
      </c>
      <c r="E4" s="131" t="n">
        <f aca="false">DATE(Año,2,1)</f>
        <v>46054</v>
      </c>
      <c r="F4" s="131" t="n">
        <f aca="false">DATE(Año,3,1)</f>
        <v>46082</v>
      </c>
      <c r="G4" s="131" t="n">
        <f aca="false">DATE(Año,4,1)</f>
        <v>46113</v>
      </c>
      <c r="H4" s="131" t="n">
        <f aca="false">DATE(Año,5,1)</f>
        <v>46143</v>
      </c>
      <c r="I4" s="131" t="n">
        <f aca="false">DATE(Año,6,1)</f>
        <v>46174</v>
      </c>
      <c r="J4" s="131" t="n">
        <f aca="false">DATE(Año,7,1)</f>
        <v>46204</v>
      </c>
      <c r="K4" s="131" t="n">
        <f aca="false">DATE(Año,8,1)</f>
        <v>46235</v>
      </c>
      <c r="L4" s="131" t="n">
        <f aca="false">DATE(Año,9,1)</f>
        <v>46266</v>
      </c>
      <c r="M4" s="131" t="n">
        <f aca="false">DATE(Año,10,1)</f>
        <v>46296</v>
      </c>
      <c r="N4" s="131" t="n">
        <f aca="false">DATE(Año,11,1)</f>
        <v>46327</v>
      </c>
      <c r="O4" s="131" t="n">
        <f aca="false">DATE(Año,12,1)</f>
        <v>46357</v>
      </c>
    </row>
    <row r="5" customFormat="false" ht="15" hidden="false" customHeight="false" outlineLevel="0" collapsed="false">
      <c r="A5" s="130" t="s">
        <v>421</v>
      </c>
      <c r="D5" s="131" t="n">
        <f aca="false">EOMONTH(DATE(Año,1,1),0)</f>
        <v>46053</v>
      </c>
      <c r="E5" s="131" t="n">
        <f aca="false">EOMONTH(DATE(Año,2,1),0)</f>
        <v>46081</v>
      </c>
      <c r="F5" s="131" t="n">
        <f aca="false">EOMONTH(DATE(Año,3,1),0)</f>
        <v>46112</v>
      </c>
      <c r="G5" s="131" t="n">
        <f aca="false">EOMONTH(DATE(Año,4,1),0)</f>
        <v>46142</v>
      </c>
      <c r="H5" s="131" t="n">
        <f aca="false">EOMONTH(DATE(Año,5,1),0)</f>
        <v>46173</v>
      </c>
      <c r="I5" s="131" t="n">
        <f aca="false">EOMONTH(DATE(Año,6,1),0)</f>
        <v>46203</v>
      </c>
      <c r="J5" s="131" t="n">
        <f aca="false">EOMONTH(DATE(Año,7,1),0)</f>
        <v>46234</v>
      </c>
      <c r="K5" s="131" t="n">
        <f aca="false">EOMONTH(DATE(Año,8,1),0)</f>
        <v>46265</v>
      </c>
      <c r="L5" s="131" t="n">
        <f aca="false">EOMONTH(DATE(Año,9,1),0)</f>
        <v>46295</v>
      </c>
      <c r="M5" s="131" t="n">
        <f aca="false">EOMONTH(DATE(Año,10,1),0)</f>
        <v>46326</v>
      </c>
      <c r="N5" s="131" t="n">
        <f aca="false">EOMONTH(DATE(Año,11,1),0)</f>
        <v>46356</v>
      </c>
      <c r="O5" s="131" t="n">
        <f aca="false">EOMONTH(DATE(Año,12,1),0)</f>
        <v>46387</v>
      </c>
    </row>
    <row r="7" customFormat="false" ht="15" hidden="false" customHeight="false" outlineLevel="0" collapsed="false">
      <c r="A7" s="132" t="s">
        <v>422</v>
      </c>
    </row>
    <row r="8" customFormat="false" ht="15" hidden="false" customHeight="false" outlineLevel="0" collapsed="false">
      <c r="A8" s="26" t="s">
        <v>343</v>
      </c>
      <c r="B8" s="26" t="s">
        <v>423</v>
      </c>
      <c r="C8" s="26" t="s">
        <v>424</v>
      </c>
      <c r="D8" s="26" t="s">
        <v>425</v>
      </c>
      <c r="E8" s="26" t="s">
        <v>426</v>
      </c>
      <c r="F8" s="26" t="s">
        <v>427</v>
      </c>
      <c r="G8" s="26" t="s">
        <v>428</v>
      </c>
      <c r="H8" s="26" t="s">
        <v>429</v>
      </c>
      <c r="I8" s="26" t="s">
        <v>430</v>
      </c>
      <c r="J8" s="26" t="s">
        <v>431</v>
      </c>
      <c r="K8" s="26" t="s">
        <v>432</v>
      </c>
      <c r="L8" s="26" t="s">
        <v>433</v>
      </c>
      <c r="M8" s="26" t="s">
        <v>434</v>
      </c>
      <c r="N8" s="26" t="s">
        <v>435</v>
      </c>
      <c r="O8" s="26" t="s">
        <v>436</v>
      </c>
      <c r="P8" s="26" t="s">
        <v>437</v>
      </c>
    </row>
    <row r="9" customFormat="false" ht="15" hidden="false" customHeight="false" outlineLevel="0" collapsed="false">
      <c r="A9" s="133" t="str">
        <f aca="false">IF(Ajustes!$A$10="","",Ajustes!$A$10)</f>
        <v>Línea de producción 1</v>
      </c>
      <c r="B9" s="23"/>
      <c r="C9" s="23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5" t="n">
        <f aca="false">IF(A9="","",SUM(D9:O9))</f>
        <v>0</v>
      </c>
    </row>
    <row r="10" customFormat="false" ht="15" hidden="false" customHeight="false" outlineLevel="0" collapsed="false">
      <c r="A10" s="133" t="str">
        <f aca="false">IF(Ajustes!$A$11="","",Ajustes!$A$11)</f>
        <v>Línea de producción 2</v>
      </c>
      <c r="B10" s="23"/>
      <c r="C10" s="23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5" t="n">
        <f aca="false">IF(A10="","",SUM(D10:O10))</f>
        <v>0</v>
      </c>
    </row>
    <row r="11" customFormat="false" ht="15" hidden="false" customHeight="false" outlineLevel="0" collapsed="false">
      <c r="A11" s="133" t="str">
        <f aca="false">IF(Ajustes!$A$12="","",Ajustes!$A$12)</f>
        <v>Almacén de materiales</v>
      </c>
      <c r="B11" s="23"/>
      <c r="C11" s="23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5" t="n">
        <f aca="false">IF(A11="","",SUM(D11:O11))</f>
        <v>0</v>
      </c>
    </row>
    <row r="12" customFormat="false" ht="23.85" hidden="false" customHeight="false" outlineLevel="0" collapsed="false">
      <c r="A12" s="133" t="str">
        <f aca="false">IF(Ajustes!$A$13="","",Ajustes!$A$13)</f>
        <v>Almacén de producto terminado</v>
      </c>
      <c r="B12" s="23"/>
      <c r="C12" s="23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5" t="n">
        <f aca="false">IF(A12="","",SUM(D12:O12))</f>
        <v>0</v>
      </c>
    </row>
    <row r="13" customFormat="false" ht="15" hidden="false" customHeight="false" outlineLevel="0" collapsed="false">
      <c r="A13" s="133" t="str">
        <f aca="false">IF(Ajustes!$A$14="","",Ajustes!$A$14)</f>
        <v>Sala de herramientas</v>
      </c>
      <c r="B13" s="23"/>
      <c r="C13" s="23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5" t="n">
        <f aca="false">IF(A13="","",SUM(D13:O13))</f>
        <v>0</v>
      </c>
    </row>
    <row r="14" customFormat="false" ht="15" hidden="false" customHeight="false" outlineLevel="0" collapsed="false">
      <c r="A14" s="133" t="str">
        <f aca="false">IF(Ajustes!$A$15="","",Ajustes!$A$15)</f>
        <v>Mantenimiento</v>
      </c>
      <c r="B14" s="23"/>
      <c r="C14" s="23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5" t="n">
        <f aca="false">IF(A14="","",SUM(D14:O14))</f>
        <v>0</v>
      </c>
    </row>
    <row r="15" customFormat="false" ht="15" hidden="false" customHeight="false" outlineLevel="0" collapsed="false">
      <c r="A15" s="133" t="str">
        <f aca="false">IF(Ajustes!$A$16="","",Ajustes!$A$16)</f>
        <v>Control de calidad</v>
      </c>
      <c r="B15" s="23"/>
      <c r="C15" s="23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5" t="n">
        <f aca="false">IF(A15="","",SUM(D15:O15))</f>
        <v>0</v>
      </c>
    </row>
    <row r="16" customFormat="false" ht="15" hidden="false" customHeight="false" outlineLevel="0" collapsed="false">
      <c r="A16" s="133" t="str">
        <f aca="false">IF(Ajustes!$A$17="","",Ajustes!$A$17)</f>
        <v>Embalaje</v>
      </c>
      <c r="B16" s="23"/>
      <c r="C16" s="23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5" t="n">
        <f aca="false">IF(A16="","",SUM(D16:O16))</f>
        <v>0</v>
      </c>
    </row>
    <row r="17" customFormat="false" ht="15" hidden="false" customHeight="false" outlineLevel="0" collapsed="false">
      <c r="A17" s="133" t="str">
        <f aca="false">IF(Ajustes!$A$18="","",Ajustes!$A$18)</f>
        <v/>
      </c>
      <c r="B17" s="23"/>
      <c r="C17" s="23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5" t="str">
        <f aca="false">IF(A17="","",SUM(D17:O17))</f>
        <v/>
      </c>
    </row>
    <row r="18" customFormat="false" ht="15" hidden="false" customHeight="false" outlineLevel="0" collapsed="false">
      <c r="A18" s="133" t="str">
        <f aca="false">IF(Ajustes!$A$19="","",Ajustes!$A$19)</f>
        <v/>
      </c>
      <c r="B18" s="23"/>
      <c r="C18" s="23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5" t="str">
        <f aca="false">IF(A18="","",SUM(D18:O18))</f>
        <v/>
      </c>
    </row>
    <row r="19" customFormat="false" ht="15" hidden="false" customHeight="false" outlineLevel="0" collapsed="false">
      <c r="A19" s="133" t="str">
        <f aca="false">IF(Ajustes!$A$20="","",Ajustes!$A$20)</f>
        <v/>
      </c>
      <c r="B19" s="23"/>
      <c r="C19" s="23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5" t="str">
        <f aca="false">IF(A19="","",SUM(D19:O19))</f>
        <v/>
      </c>
    </row>
    <row r="20" customFormat="false" ht="15" hidden="false" customHeight="false" outlineLevel="0" collapsed="false">
      <c r="A20" s="133" t="str">
        <f aca="false">IF(Ajustes!$A$21="","",Ajustes!$A$21)</f>
        <v/>
      </c>
      <c r="B20" s="23"/>
      <c r="C20" s="23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5" t="str">
        <f aca="false">IF(A20="","",SUM(D20:O20))</f>
        <v/>
      </c>
    </row>
    <row r="21" customFormat="false" ht="15" hidden="false" customHeight="false" outlineLevel="0" collapsed="false">
      <c r="A21" s="133" t="str">
        <f aca="false">IF(Ajustes!$A$22="","",Ajustes!$A$22)</f>
        <v/>
      </c>
      <c r="B21" s="23"/>
      <c r="C21" s="23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5" t="str">
        <f aca="false">IF(A21="","",SUM(D21:O21))</f>
        <v/>
      </c>
    </row>
    <row r="22" customFormat="false" ht="15" hidden="false" customHeight="false" outlineLevel="0" collapsed="false">
      <c r="A22" s="133" t="str">
        <f aca="false">IF(Ajustes!$A$23="","",Ajustes!$A$23)</f>
        <v/>
      </c>
      <c r="B22" s="23"/>
      <c r="C22" s="23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5" t="str">
        <f aca="false">IF(A22="","",SUM(D22:O22))</f>
        <v/>
      </c>
    </row>
    <row r="23" customFormat="false" ht="15" hidden="false" customHeight="false" outlineLevel="0" collapsed="false">
      <c r="A23" s="133" t="str">
        <f aca="false">IF(Ajustes!$A$24="","",Ajustes!$A$24)</f>
        <v/>
      </c>
      <c r="B23" s="23"/>
      <c r="C23" s="23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5" t="str">
        <f aca="false">IF(A23="","",SUM(D23:O23))</f>
        <v/>
      </c>
    </row>
    <row r="26" customFormat="false" ht="15" hidden="false" customHeight="false" outlineLevel="0" collapsed="false">
      <c r="A26" s="136" t="s">
        <v>438</v>
      </c>
    </row>
    <row r="27" customFormat="false" ht="39.75" hidden="false" customHeight="true" outlineLevel="0" collapsed="false">
      <c r="A27" s="30" t="s">
        <v>343</v>
      </c>
      <c r="B27" s="30" t="s">
        <v>423</v>
      </c>
      <c r="C27" s="30" t="s">
        <v>424</v>
      </c>
      <c r="D27" s="30" t="s">
        <v>425</v>
      </c>
      <c r="E27" s="30" t="s">
        <v>426</v>
      </c>
      <c r="F27" s="30" t="s">
        <v>427</v>
      </c>
      <c r="G27" s="30" t="s">
        <v>428</v>
      </c>
      <c r="H27" s="30" t="s">
        <v>429</v>
      </c>
      <c r="I27" s="30" t="s">
        <v>430</v>
      </c>
      <c r="J27" s="30" t="s">
        <v>431</v>
      </c>
      <c r="K27" s="30" t="s">
        <v>432</v>
      </c>
      <c r="L27" s="30" t="s">
        <v>433</v>
      </c>
      <c r="M27" s="30" t="s">
        <v>434</v>
      </c>
      <c r="N27" s="30" t="s">
        <v>435</v>
      </c>
      <c r="O27" s="30" t="s">
        <v>436</v>
      </c>
      <c r="P27" s="30" t="s">
        <v>439</v>
      </c>
    </row>
    <row r="28" customFormat="false" ht="15" hidden="false" customHeight="false" outlineLevel="0" collapsed="false">
      <c r="A28" s="133" t="str">
        <f aca="false">A9</f>
        <v>Línea de producción 1</v>
      </c>
      <c r="B28" s="137" t="str">
        <f aca="false">IF(B9="","",B9)</f>
        <v/>
      </c>
      <c r="C28" s="137" t="str">
        <f aca="false">IF(C9="","",C9)</f>
        <v/>
      </c>
      <c r="D28" s="138" t="n">
        <f aca="false">IF($A28="","",COUNTIFS(Puntuaciones!$C$5:$BJ$5,$A28,Puntuaciones!$C$62:$BJ$62,1,Puntuaciones!$C$4:$BJ$4,"&gt;="&amp;D$4,Puntuaciones!$C$4:$BJ$4,"&lt;="&amp;D$5))</f>
        <v>0</v>
      </c>
      <c r="E28" s="138" t="n">
        <f aca="false">IF($A28="","",COUNTIFS(Puntuaciones!$C$5:$BJ$5,$A28,Puntuaciones!$C$62:$BJ$62,1,Puntuaciones!$C$4:$BJ$4,"&gt;="&amp;E$4,Puntuaciones!$C$4:$BJ$4,"&lt;="&amp;E$5))</f>
        <v>0</v>
      </c>
      <c r="F28" s="138" t="n">
        <f aca="false">IF($A28="","",COUNTIFS(Puntuaciones!$C$5:$BJ$5,$A28,Puntuaciones!$C$62:$BJ$62,1,Puntuaciones!$C$4:$BJ$4,"&gt;="&amp;F$4,Puntuaciones!$C$4:$BJ$4,"&lt;="&amp;F$5))</f>
        <v>0</v>
      </c>
      <c r="G28" s="138" t="n">
        <f aca="false">IF($A28="","",COUNTIFS(Puntuaciones!$C$5:$BJ$5,$A28,Puntuaciones!$C$62:$BJ$62,1,Puntuaciones!$C$4:$BJ$4,"&gt;="&amp;G$4,Puntuaciones!$C$4:$BJ$4,"&lt;="&amp;G$5))</f>
        <v>0</v>
      </c>
      <c r="H28" s="138" t="n">
        <f aca="false">IF($A28="","",COUNTIFS(Puntuaciones!$C$5:$BJ$5,$A28,Puntuaciones!$C$62:$BJ$62,1,Puntuaciones!$C$4:$BJ$4,"&gt;="&amp;H$4,Puntuaciones!$C$4:$BJ$4,"&lt;="&amp;H$5))</f>
        <v>0</v>
      </c>
      <c r="I28" s="138" t="n">
        <f aca="false">IF($A28="","",COUNTIFS(Puntuaciones!$C$5:$BJ$5,$A28,Puntuaciones!$C$62:$BJ$62,1,Puntuaciones!$C$4:$BJ$4,"&gt;="&amp;I$4,Puntuaciones!$C$4:$BJ$4,"&lt;="&amp;I$5))</f>
        <v>0</v>
      </c>
      <c r="J28" s="138" t="n">
        <f aca="false">IF($A28="","",COUNTIFS(Puntuaciones!$C$5:$BJ$5,$A28,Puntuaciones!$C$62:$BJ$62,1,Puntuaciones!$C$4:$BJ$4,"&gt;="&amp;J$4,Puntuaciones!$C$4:$BJ$4,"&lt;="&amp;J$5))</f>
        <v>0</v>
      </c>
      <c r="K28" s="138" t="n">
        <f aca="false">IF($A28="","",COUNTIFS(Puntuaciones!$C$5:$BJ$5,$A28,Puntuaciones!$C$62:$BJ$62,1,Puntuaciones!$C$4:$BJ$4,"&gt;="&amp;K$4,Puntuaciones!$C$4:$BJ$4,"&lt;="&amp;K$5))</f>
        <v>0</v>
      </c>
      <c r="L28" s="138" t="n">
        <f aca="false">IF($A28="","",COUNTIFS(Puntuaciones!$C$5:$BJ$5,$A28,Puntuaciones!$C$62:$BJ$62,1,Puntuaciones!$C$4:$BJ$4,"&gt;="&amp;L$4,Puntuaciones!$C$4:$BJ$4,"&lt;="&amp;L$5))</f>
        <v>0</v>
      </c>
      <c r="M28" s="138" t="n">
        <f aca="false">IF($A28="","",COUNTIFS(Puntuaciones!$C$5:$BJ$5,$A28,Puntuaciones!$C$62:$BJ$62,1,Puntuaciones!$C$4:$BJ$4,"&gt;="&amp;M$4,Puntuaciones!$C$4:$BJ$4,"&lt;="&amp;M$5))</f>
        <v>0</v>
      </c>
      <c r="N28" s="138" t="n">
        <f aca="false">IF($A28="","",COUNTIFS(Puntuaciones!$C$5:$BJ$5,$A28,Puntuaciones!$C$62:$BJ$62,1,Puntuaciones!$C$4:$BJ$4,"&gt;="&amp;N$4,Puntuaciones!$C$4:$BJ$4,"&lt;="&amp;N$5))</f>
        <v>0</v>
      </c>
      <c r="O28" s="138" t="n">
        <f aca="false">IF($A28="","",COUNTIFS(Puntuaciones!$C$5:$BJ$5,$A28,Puntuaciones!$C$62:$BJ$62,1,Puntuaciones!$C$4:$BJ$4,"&gt;="&amp;O$4,Puntuaciones!$C$4:$BJ$4,"&lt;="&amp;O$5))</f>
        <v>0</v>
      </c>
      <c r="P28" s="108" t="str">
        <f aca="true">IF(A28="","",IF(SUMPRODUCT(($D$5:$O$5&lt;TODAY())*D9:O9)=0,"",SUMPRODUCT(($D$5:$O$5&lt;TODAY())*((D28:O28&lt;D9:O9)*D28:O28+(D28:O28&gt;=D9:O9)*D9:O9))/SUMPRODUCT(($D$5:$O$5&lt;TODAY())*D9:O9)))</f>
        <v/>
      </c>
    </row>
    <row r="29" customFormat="false" ht="15" hidden="false" customHeight="false" outlineLevel="0" collapsed="false">
      <c r="A29" s="133" t="str">
        <f aca="false">A10</f>
        <v>Línea de producción 2</v>
      </c>
      <c r="B29" s="137" t="str">
        <f aca="false">IF(B10="","",B10)</f>
        <v/>
      </c>
      <c r="C29" s="137" t="str">
        <f aca="false">IF(C10="","",C10)</f>
        <v/>
      </c>
      <c r="D29" s="138" t="n">
        <f aca="false">IF($A29="","",COUNTIFS(Puntuaciones!$C$5:$BJ$5,$A29,Puntuaciones!$C$62:$BJ$62,1,Puntuaciones!$C$4:$BJ$4,"&gt;="&amp;D$4,Puntuaciones!$C$4:$BJ$4,"&lt;="&amp;D$5))</f>
        <v>0</v>
      </c>
      <c r="E29" s="138" t="n">
        <f aca="false">IF($A29="","",COUNTIFS(Puntuaciones!$C$5:$BJ$5,$A29,Puntuaciones!$C$62:$BJ$62,1,Puntuaciones!$C$4:$BJ$4,"&gt;="&amp;E$4,Puntuaciones!$C$4:$BJ$4,"&lt;="&amp;E$5))</f>
        <v>0</v>
      </c>
      <c r="F29" s="138" t="n">
        <f aca="false">IF($A29="","",COUNTIFS(Puntuaciones!$C$5:$BJ$5,$A29,Puntuaciones!$C$62:$BJ$62,1,Puntuaciones!$C$4:$BJ$4,"&gt;="&amp;F$4,Puntuaciones!$C$4:$BJ$4,"&lt;="&amp;F$5))</f>
        <v>0</v>
      </c>
      <c r="G29" s="138" t="n">
        <f aca="false">IF($A29="","",COUNTIFS(Puntuaciones!$C$5:$BJ$5,$A29,Puntuaciones!$C$62:$BJ$62,1,Puntuaciones!$C$4:$BJ$4,"&gt;="&amp;G$4,Puntuaciones!$C$4:$BJ$4,"&lt;="&amp;G$5))</f>
        <v>0</v>
      </c>
      <c r="H29" s="138" t="n">
        <f aca="false">IF($A29="","",COUNTIFS(Puntuaciones!$C$5:$BJ$5,$A29,Puntuaciones!$C$62:$BJ$62,1,Puntuaciones!$C$4:$BJ$4,"&gt;="&amp;H$4,Puntuaciones!$C$4:$BJ$4,"&lt;="&amp;H$5))</f>
        <v>0</v>
      </c>
      <c r="I29" s="138" t="n">
        <f aca="false">IF($A29="","",COUNTIFS(Puntuaciones!$C$5:$BJ$5,$A29,Puntuaciones!$C$62:$BJ$62,1,Puntuaciones!$C$4:$BJ$4,"&gt;="&amp;I$4,Puntuaciones!$C$4:$BJ$4,"&lt;="&amp;I$5))</f>
        <v>0</v>
      </c>
      <c r="J29" s="138" t="n">
        <f aca="false">IF($A29="","",COUNTIFS(Puntuaciones!$C$5:$BJ$5,$A29,Puntuaciones!$C$62:$BJ$62,1,Puntuaciones!$C$4:$BJ$4,"&gt;="&amp;J$4,Puntuaciones!$C$4:$BJ$4,"&lt;="&amp;J$5))</f>
        <v>0</v>
      </c>
      <c r="K29" s="138" t="n">
        <f aca="false">IF($A29="","",COUNTIFS(Puntuaciones!$C$5:$BJ$5,$A29,Puntuaciones!$C$62:$BJ$62,1,Puntuaciones!$C$4:$BJ$4,"&gt;="&amp;K$4,Puntuaciones!$C$4:$BJ$4,"&lt;="&amp;K$5))</f>
        <v>0</v>
      </c>
      <c r="L29" s="138" t="n">
        <f aca="false">IF($A29="","",COUNTIFS(Puntuaciones!$C$5:$BJ$5,$A29,Puntuaciones!$C$62:$BJ$62,1,Puntuaciones!$C$4:$BJ$4,"&gt;="&amp;L$4,Puntuaciones!$C$4:$BJ$4,"&lt;="&amp;L$5))</f>
        <v>0</v>
      </c>
      <c r="M29" s="138" t="n">
        <f aca="false">IF($A29="","",COUNTIFS(Puntuaciones!$C$5:$BJ$5,$A29,Puntuaciones!$C$62:$BJ$62,1,Puntuaciones!$C$4:$BJ$4,"&gt;="&amp;M$4,Puntuaciones!$C$4:$BJ$4,"&lt;="&amp;M$5))</f>
        <v>0</v>
      </c>
      <c r="N29" s="138" t="n">
        <f aca="false">IF($A29="","",COUNTIFS(Puntuaciones!$C$5:$BJ$5,$A29,Puntuaciones!$C$62:$BJ$62,1,Puntuaciones!$C$4:$BJ$4,"&gt;="&amp;N$4,Puntuaciones!$C$4:$BJ$4,"&lt;="&amp;N$5))</f>
        <v>0</v>
      </c>
      <c r="O29" s="138" t="n">
        <f aca="false">IF($A29="","",COUNTIFS(Puntuaciones!$C$5:$BJ$5,$A29,Puntuaciones!$C$62:$BJ$62,1,Puntuaciones!$C$4:$BJ$4,"&gt;="&amp;O$4,Puntuaciones!$C$4:$BJ$4,"&lt;="&amp;O$5))</f>
        <v>0</v>
      </c>
      <c r="P29" s="108" t="str">
        <f aca="true">IF(A29="","",IF(SUMPRODUCT(($D$5:$O$5&lt;TODAY())*D10:O10)=0,"",SUMPRODUCT(($D$5:$O$5&lt;TODAY())*((D29:O29&lt;D10:O10)*D29:O29+(D29:O29&gt;=D10:O10)*D10:O10))/SUMPRODUCT(($D$5:$O$5&lt;TODAY())*D10:O10)))</f>
        <v/>
      </c>
    </row>
    <row r="30" customFormat="false" ht="15" hidden="false" customHeight="false" outlineLevel="0" collapsed="false">
      <c r="A30" s="133" t="str">
        <f aca="false">A11</f>
        <v>Almacén de materiales</v>
      </c>
      <c r="B30" s="137" t="str">
        <f aca="false">IF(B11="","",B11)</f>
        <v/>
      </c>
      <c r="C30" s="137" t="str">
        <f aca="false">IF(C11="","",C11)</f>
        <v/>
      </c>
      <c r="D30" s="138" t="n">
        <f aca="false">IF($A30="","",COUNTIFS(Puntuaciones!$C$5:$BJ$5,$A30,Puntuaciones!$C$62:$BJ$62,1,Puntuaciones!$C$4:$BJ$4,"&gt;="&amp;D$4,Puntuaciones!$C$4:$BJ$4,"&lt;="&amp;D$5))</f>
        <v>0</v>
      </c>
      <c r="E30" s="138" t="n">
        <f aca="false">IF($A30="","",COUNTIFS(Puntuaciones!$C$5:$BJ$5,$A30,Puntuaciones!$C$62:$BJ$62,1,Puntuaciones!$C$4:$BJ$4,"&gt;="&amp;E$4,Puntuaciones!$C$4:$BJ$4,"&lt;="&amp;E$5))</f>
        <v>0</v>
      </c>
      <c r="F30" s="138" t="n">
        <f aca="false">IF($A30="","",COUNTIFS(Puntuaciones!$C$5:$BJ$5,$A30,Puntuaciones!$C$62:$BJ$62,1,Puntuaciones!$C$4:$BJ$4,"&gt;="&amp;F$4,Puntuaciones!$C$4:$BJ$4,"&lt;="&amp;F$5))</f>
        <v>0</v>
      </c>
      <c r="G30" s="138" t="n">
        <f aca="false">IF($A30="","",COUNTIFS(Puntuaciones!$C$5:$BJ$5,$A30,Puntuaciones!$C$62:$BJ$62,1,Puntuaciones!$C$4:$BJ$4,"&gt;="&amp;G$4,Puntuaciones!$C$4:$BJ$4,"&lt;="&amp;G$5))</f>
        <v>0</v>
      </c>
      <c r="H30" s="138" t="n">
        <f aca="false">IF($A30="","",COUNTIFS(Puntuaciones!$C$5:$BJ$5,$A30,Puntuaciones!$C$62:$BJ$62,1,Puntuaciones!$C$4:$BJ$4,"&gt;="&amp;H$4,Puntuaciones!$C$4:$BJ$4,"&lt;="&amp;H$5))</f>
        <v>0</v>
      </c>
      <c r="I30" s="138" t="n">
        <f aca="false">IF($A30="","",COUNTIFS(Puntuaciones!$C$5:$BJ$5,$A30,Puntuaciones!$C$62:$BJ$62,1,Puntuaciones!$C$4:$BJ$4,"&gt;="&amp;I$4,Puntuaciones!$C$4:$BJ$4,"&lt;="&amp;I$5))</f>
        <v>0</v>
      </c>
      <c r="J30" s="138" t="n">
        <f aca="false">IF($A30="","",COUNTIFS(Puntuaciones!$C$5:$BJ$5,$A30,Puntuaciones!$C$62:$BJ$62,1,Puntuaciones!$C$4:$BJ$4,"&gt;="&amp;J$4,Puntuaciones!$C$4:$BJ$4,"&lt;="&amp;J$5))</f>
        <v>0</v>
      </c>
      <c r="K30" s="138" t="n">
        <f aca="false">IF($A30="","",COUNTIFS(Puntuaciones!$C$5:$BJ$5,$A30,Puntuaciones!$C$62:$BJ$62,1,Puntuaciones!$C$4:$BJ$4,"&gt;="&amp;K$4,Puntuaciones!$C$4:$BJ$4,"&lt;="&amp;K$5))</f>
        <v>0</v>
      </c>
      <c r="L30" s="138" t="n">
        <f aca="false">IF($A30="","",COUNTIFS(Puntuaciones!$C$5:$BJ$5,$A30,Puntuaciones!$C$62:$BJ$62,1,Puntuaciones!$C$4:$BJ$4,"&gt;="&amp;L$4,Puntuaciones!$C$4:$BJ$4,"&lt;="&amp;L$5))</f>
        <v>0</v>
      </c>
      <c r="M30" s="138" t="n">
        <f aca="false">IF($A30="","",COUNTIFS(Puntuaciones!$C$5:$BJ$5,$A30,Puntuaciones!$C$62:$BJ$62,1,Puntuaciones!$C$4:$BJ$4,"&gt;="&amp;M$4,Puntuaciones!$C$4:$BJ$4,"&lt;="&amp;M$5))</f>
        <v>0</v>
      </c>
      <c r="N30" s="138" t="n">
        <f aca="false">IF($A30="","",COUNTIFS(Puntuaciones!$C$5:$BJ$5,$A30,Puntuaciones!$C$62:$BJ$62,1,Puntuaciones!$C$4:$BJ$4,"&gt;="&amp;N$4,Puntuaciones!$C$4:$BJ$4,"&lt;="&amp;N$5))</f>
        <v>0</v>
      </c>
      <c r="O30" s="138" t="n">
        <f aca="false">IF($A30="","",COUNTIFS(Puntuaciones!$C$5:$BJ$5,$A30,Puntuaciones!$C$62:$BJ$62,1,Puntuaciones!$C$4:$BJ$4,"&gt;="&amp;O$4,Puntuaciones!$C$4:$BJ$4,"&lt;="&amp;O$5))</f>
        <v>0</v>
      </c>
      <c r="P30" s="108" t="str">
        <f aca="true">IF(A30="","",IF(SUMPRODUCT(($D$5:$O$5&lt;TODAY())*D11:O11)=0,"",SUMPRODUCT(($D$5:$O$5&lt;TODAY())*((D30:O30&lt;D11:O11)*D30:O30+(D30:O30&gt;=D11:O11)*D11:O11))/SUMPRODUCT(($D$5:$O$5&lt;TODAY())*D11:O11)))</f>
        <v/>
      </c>
    </row>
    <row r="31" customFormat="false" ht="23.85" hidden="false" customHeight="false" outlineLevel="0" collapsed="false">
      <c r="A31" s="133" t="str">
        <f aca="false">A12</f>
        <v>Almacén de producto terminado</v>
      </c>
      <c r="B31" s="137" t="str">
        <f aca="false">IF(B12="","",B12)</f>
        <v/>
      </c>
      <c r="C31" s="137" t="str">
        <f aca="false">IF(C12="","",C12)</f>
        <v/>
      </c>
      <c r="D31" s="138" t="n">
        <f aca="false">IF($A31="","",COUNTIFS(Puntuaciones!$C$5:$BJ$5,$A31,Puntuaciones!$C$62:$BJ$62,1,Puntuaciones!$C$4:$BJ$4,"&gt;="&amp;D$4,Puntuaciones!$C$4:$BJ$4,"&lt;="&amp;D$5))</f>
        <v>0</v>
      </c>
      <c r="E31" s="138" t="n">
        <f aca="false">IF($A31="","",COUNTIFS(Puntuaciones!$C$5:$BJ$5,$A31,Puntuaciones!$C$62:$BJ$62,1,Puntuaciones!$C$4:$BJ$4,"&gt;="&amp;E$4,Puntuaciones!$C$4:$BJ$4,"&lt;="&amp;E$5))</f>
        <v>0</v>
      </c>
      <c r="F31" s="138" t="n">
        <f aca="false">IF($A31="","",COUNTIFS(Puntuaciones!$C$5:$BJ$5,$A31,Puntuaciones!$C$62:$BJ$62,1,Puntuaciones!$C$4:$BJ$4,"&gt;="&amp;F$4,Puntuaciones!$C$4:$BJ$4,"&lt;="&amp;F$5))</f>
        <v>0</v>
      </c>
      <c r="G31" s="138" t="n">
        <f aca="false">IF($A31="","",COUNTIFS(Puntuaciones!$C$5:$BJ$5,$A31,Puntuaciones!$C$62:$BJ$62,1,Puntuaciones!$C$4:$BJ$4,"&gt;="&amp;G$4,Puntuaciones!$C$4:$BJ$4,"&lt;="&amp;G$5))</f>
        <v>0</v>
      </c>
      <c r="H31" s="138" t="n">
        <f aca="false">IF($A31="","",COUNTIFS(Puntuaciones!$C$5:$BJ$5,$A31,Puntuaciones!$C$62:$BJ$62,1,Puntuaciones!$C$4:$BJ$4,"&gt;="&amp;H$4,Puntuaciones!$C$4:$BJ$4,"&lt;="&amp;H$5))</f>
        <v>0</v>
      </c>
      <c r="I31" s="138" t="n">
        <f aca="false">IF($A31="","",COUNTIFS(Puntuaciones!$C$5:$BJ$5,$A31,Puntuaciones!$C$62:$BJ$62,1,Puntuaciones!$C$4:$BJ$4,"&gt;="&amp;I$4,Puntuaciones!$C$4:$BJ$4,"&lt;="&amp;I$5))</f>
        <v>0</v>
      </c>
      <c r="J31" s="138" t="n">
        <f aca="false">IF($A31="","",COUNTIFS(Puntuaciones!$C$5:$BJ$5,$A31,Puntuaciones!$C$62:$BJ$62,1,Puntuaciones!$C$4:$BJ$4,"&gt;="&amp;J$4,Puntuaciones!$C$4:$BJ$4,"&lt;="&amp;J$5))</f>
        <v>0</v>
      </c>
      <c r="K31" s="138" t="n">
        <f aca="false">IF($A31="","",COUNTIFS(Puntuaciones!$C$5:$BJ$5,$A31,Puntuaciones!$C$62:$BJ$62,1,Puntuaciones!$C$4:$BJ$4,"&gt;="&amp;K$4,Puntuaciones!$C$4:$BJ$4,"&lt;="&amp;K$5))</f>
        <v>0</v>
      </c>
      <c r="L31" s="138" t="n">
        <f aca="false">IF($A31="","",COUNTIFS(Puntuaciones!$C$5:$BJ$5,$A31,Puntuaciones!$C$62:$BJ$62,1,Puntuaciones!$C$4:$BJ$4,"&gt;="&amp;L$4,Puntuaciones!$C$4:$BJ$4,"&lt;="&amp;L$5))</f>
        <v>0</v>
      </c>
      <c r="M31" s="138" t="n">
        <f aca="false">IF($A31="","",COUNTIFS(Puntuaciones!$C$5:$BJ$5,$A31,Puntuaciones!$C$62:$BJ$62,1,Puntuaciones!$C$4:$BJ$4,"&gt;="&amp;M$4,Puntuaciones!$C$4:$BJ$4,"&lt;="&amp;M$5))</f>
        <v>0</v>
      </c>
      <c r="N31" s="138" t="n">
        <f aca="false">IF($A31="","",COUNTIFS(Puntuaciones!$C$5:$BJ$5,$A31,Puntuaciones!$C$62:$BJ$62,1,Puntuaciones!$C$4:$BJ$4,"&gt;="&amp;N$4,Puntuaciones!$C$4:$BJ$4,"&lt;="&amp;N$5))</f>
        <v>0</v>
      </c>
      <c r="O31" s="138" t="n">
        <f aca="false">IF($A31="","",COUNTIFS(Puntuaciones!$C$5:$BJ$5,$A31,Puntuaciones!$C$62:$BJ$62,1,Puntuaciones!$C$4:$BJ$4,"&gt;="&amp;O$4,Puntuaciones!$C$4:$BJ$4,"&lt;="&amp;O$5))</f>
        <v>0</v>
      </c>
      <c r="P31" s="108" t="str">
        <f aca="true">IF(A31="","",IF(SUMPRODUCT(($D$5:$O$5&lt;TODAY())*D12:O12)=0,"",SUMPRODUCT(($D$5:$O$5&lt;TODAY())*((D31:O31&lt;D12:O12)*D31:O31+(D31:O31&gt;=D12:O12)*D12:O12))/SUMPRODUCT(($D$5:$O$5&lt;TODAY())*D12:O12)))</f>
        <v/>
      </c>
    </row>
    <row r="32" customFormat="false" ht="15" hidden="false" customHeight="false" outlineLevel="0" collapsed="false">
      <c r="A32" s="133" t="str">
        <f aca="false">A13</f>
        <v>Sala de herramientas</v>
      </c>
      <c r="B32" s="137" t="str">
        <f aca="false">IF(B13="","",B13)</f>
        <v/>
      </c>
      <c r="C32" s="137" t="str">
        <f aca="false">IF(C13="","",C13)</f>
        <v/>
      </c>
      <c r="D32" s="138" t="n">
        <f aca="false">IF($A32="","",COUNTIFS(Puntuaciones!$C$5:$BJ$5,$A32,Puntuaciones!$C$62:$BJ$62,1,Puntuaciones!$C$4:$BJ$4,"&gt;="&amp;D$4,Puntuaciones!$C$4:$BJ$4,"&lt;="&amp;D$5))</f>
        <v>0</v>
      </c>
      <c r="E32" s="138" t="n">
        <f aca="false">IF($A32="","",COUNTIFS(Puntuaciones!$C$5:$BJ$5,$A32,Puntuaciones!$C$62:$BJ$62,1,Puntuaciones!$C$4:$BJ$4,"&gt;="&amp;E$4,Puntuaciones!$C$4:$BJ$4,"&lt;="&amp;E$5))</f>
        <v>0</v>
      </c>
      <c r="F32" s="138" t="n">
        <f aca="false">IF($A32="","",COUNTIFS(Puntuaciones!$C$5:$BJ$5,$A32,Puntuaciones!$C$62:$BJ$62,1,Puntuaciones!$C$4:$BJ$4,"&gt;="&amp;F$4,Puntuaciones!$C$4:$BJ$4,"&lt;="&amp;F$5))</f>
        <v>0</v>
      </c>
      <c r="G32" s="138" t="n">
        <f aca="false">IF($A32="","",COUNTIFS(Puntuaciones!$C$5:$BJ$5,$A32,Puntuaciones!$C$62:$BJ$62,1,Puntuaciones!$C$4:$BJ$4,"&gt;="&amp;G$4,Puntuaciones!$C$4:$BJ$4,"&lt;="&amp;G$5))</f>
        <v>0</v>
      </c>
      <c r="H32" s="138" t="n">
        <f aca="false">IF($A32="","",COUNTIFS(Puntuaciones!$C$5:$BJ$5,$A32,Puntuaciones!$C$62:$BJ$62,1,Puntuaciones!$C$4:$BJ$4,"&gt;="&amp;H$4,Puntuaciones!$C$4:$BJ$4,"&lt;="&amp;H$5))</f>
        <v>0</v>
      </c>
      <c r="I32" s="138" t="n">
        <f aca="false">IF($A32="","",COUNTIFS(Puntuaciones!$C$5:$BJ$5,$A32,Puntuaciones!$C$62:$BJ$62,1,Puntuaciones!$C$4:$BJ$4,"&gt;="&amp;I$4,Puntuaciones!$C$4:$BJ$4,"&lt;="&amp;I$5))</f>
        <v>0</v>
      </c>
      <c r="J32" s="138" t="n">
        <f aca="false">IF($A32="","",COUNTIFS(Puntuaciones!$C$5:$BJ$5,$A32,Puntuaciones!$C$62:$BJ$62,1,Puntuaciones!$C$4:$BJ$4,"&gt;="&amp;J$4,Puntuaciones!$C$4:$BJ$4,"&lt;="&amp;J$5))</f>
        <v>0</v>
      </c>
      <c r="K32" s="138" t="n">
        <f aca="false">IF($A32="","",COUNTIFS(Puntuaciones!$C$5:$BJ$5,$A32,Puntuaciones!$C$62:$BJ$62,1,Puntuaciones!$C$4:$BJ$4,"&gt;="&amp;K$4,Puntuaciones!$C$4:$BJ$4,"&lt;="&amp;K$5))</f>
        <v>0</v>
      </c>
      <c r="L32" s="138" t="n">
        <f aca="false">IF($A32="","",COUNTIFS(Puntuaciones!$C$5:$BJ$5,$A32,Puntuaciones!$C$62:$BJ$62,1,Puntuaciones!$C$4:$BJ$4,"&gt;="&amp;L$4,Puntuaciones!$C$4:$BJ$4,"&lt;="&amp;L$5))</f>
        <v>0</v>
      </c>
      <c r="M32" s="138" t="n">
        <f aca="false">IF($A32="","",COUNTIFS(Puntuaciones!$C$5:$BJ$5,$A32,Puntuaciones!$C$62:$BJ$62,1,Puntuaciones!$C$4:$BJ$4,"&gt;="&amp;M$4,Puntuaciones!$C$4:$BJ$4,"&lt;="&amp;M$5))</f>
        <v>0</v>
      </c>
      <c r="N32" s="138" t="n">
        <f aca="false">IF($A32="","",COUNTIFS(Puntuaciones!$C$5:$BJ$5,$A32,Puntuaciones!$C$62:$BJ$62,1,Puntuaciones!$C$4:$BJ$4,"&gt;="&amp;N$4,Puntuaciones!$C$4:$BJ$4,"&lt;="&amp;N$5))</f>
        <v>0</v>
      </c>
      <c r="O32" s="138" t="n">
        <f aca="false">IF($A32="","",COUNTIFS(Puntuaciones!$C$5:$BJ$5,$A32,Puntuaciones!$C$62:$BJ$62,1,Puntuaciones!$C$4:$BJ$4,"&gt;="&amp;O$4,Puntuaciones!$C$4:$BJ$4,"&lt;="&amp;O$5))</f>
        <v>0</v>
      </c>
      <c r="P32" s="108" t="str">
        <f aca="true">IF(A32="","",IF(SUMPRODUCT(($D$5:$O$5&lt;TODAY())*D13:O13)=0,"",SUMPRODUCT(($D$5:$O$5&lt;TODAY())*((D32:O32&lt;D13:O13)*D32:O32+(D32:O32&gt;=D13:O13)*D13:O13))/SUMPRODUCT(($D$5:$O$5&lt;TODAY())*D13:O13)))</f>
        <v/>
      </c>
    </row>
    <row r="33" customFormat="false" ht="15" hidden="false" customHeight="false" outlineLevel="0" collapsed="false">
      <c r="A33" s="133" t="str">
        <f aca="false">A14</f>
        <v>Mantenimiento</v>
      </c>
      <c r="B33" s="137" t="str">
        <f aca="false">IF(B14="","",B14)</f>
        <v/>
      </c>
      <c r="C33" s="137" t="str">
        <f aca="false">IF(C14="","",C14)</f>
        <v/>
      </c>
      <c r="D33" s="138" t="n">
        <f aca="false">IF($A33="","",COUNTIFS(Puntuaciones!$C$5:$BJ$5,$A33,Puntuaciones!$C$62:$BJ$62,1,Puntuaciones!$C$4:$BJ$4,"&gt;="&amp;D$4,Puntuaciones!$C$4:$BJ$4,"&lt;="&amp;D$5))</f>
        <v>0</v>
      </c>
      <c r="E33" s="138" t="n">
        <f aca="false">IF($A33="","",COUNTIFS(Puntuaciones!$C$5:$BJ$5,$A33,Puntuaciones!$C$62:$BJ$62,1,Puntuaciones!$C$4:$BJ$4,"&gt;="&amp;E$4,Puntuaciones!$C$4:$BJ$4,"&lt;="&amp;E$5))</f>
        <v>0</v>
      </c>
      <c r="F33" s="138" t="n">
        <f aca="false">IF($A33="","",COUNTIFS(Puntuaciones!$C$5:$BJ$5,$A33,Puntuaciones!$C$62:$BJ$62,1,Puntuaciones!$C$4:$BJ$4,"&gt;="&amp;F$4,Puntuaciones!$C$4:$BJ$4,"&lt;="&amp;F$5))</f>
        <v>0</v>
      </c>
      <c r="G33" s="138" t="n">
        <f aca="false">IF($A33="","",COUNTIFS(Puntuaciones!$C$5:$BJ$5,$A33,Puntuaciones!$C$62:$BJ$62,1,Puntuaciones!$C$4:$BJ$4,"&gt;="&amp;G$4,Puntuaciones!$C$4:$BJ$4,"&lt;="&amp;G$5))</f>
        <v>0</v>
      </c>
      <c r="H33" s="138" t="n">
        <f aca="false">IF($A33="","",COUNTIFS(Puntuaciones!$C$5:$BJ$5,$A33,Puntuaciones!$C$62:$BJ$62,1,Puntuaciones!$C$4:$BJ$4,"&gt;="&amp;H$4,Puntuaciones!$C$4:$BJ$4,"&lt;="&amp;H$5))</f>
        <v>0</v>
      </c>
      <c r="I33" s="138" t="n">
        <f aca="false">IF($A33="","",COUNTIFS(Puntuaciones!$C$5:$BJ$5,$A33,Puntuaciones!$C$62:$BJ$62,1,Puntuaciones!$C$4:$BJ$4,"&gt;="&amp;I$4,Puntuaciones!$C$4:$BJ$4,"&lt;="&amp;I$5))</f>
        <v>0</v>
      </c>
      <c r="J33" s="138" t="n">
        <f aca="false">IF($A33="","",COUNTIFS(Puntuaciones!$C$5:$BJ$5,$A33,Puntuaciones!$C$62:$BJ$62,1,Puntuaciones!$C$4:$BJ$4,"&gt;="&amp;J$4,Puntuaciones!$C$4:$BJ$4,"&lt;="&amp;J$5))</f>
        <v>0</v>
      </c>
      <c r="K33" s="138" t="n">
        <f aca="false">IF($A33="","",COUNTIFS(Puntuaciones!$C$5:$BJ$5,$A33,Puntuaciones!$C$62:$BJ$62,1,Puntuaciones!$C$4:$BJ$4,"&gt;="&amp;K$4,Puntuaciones!$C$4:$BJ$4,"&lt;="&amp;K$5))</f>
        <v>0</v>
      </c>
      <c r="L33" s="138" t="n">
        <f aca="false">IF($A33="","",COUNTIFS(Puntuaciones!$C$5:$BJ$5,$A33,Puntuaciones!$C$62:$BJ$62,1,Puntuaciones!$C$4:$BJ$4,"&gt;="&amp;L$4,Puntuaciones!$C$4:$BJ$4,"&lt;="&amp;L$5))</f>
        <v>0</v>
      </c>
      <c r="M33" s="138" t="n">
        <f aca="false">IF($A33="","",COUNTIFS(Puntuaciones!$C$5:$BJ$5,$A33,Puntuaciones!$C$62:$BJ$62,1,Puntuaciones!$C$4:$BJ$4,"&gt;="&amp;M$4,Puntuaciones!$C$4:$BJ$4,"&lt;="&amp;M$5))</f>
        <v>0</v>
      </c>
      <c r="N33" s="138" t="n">
        <f aca="false">IF($A33="","",COUNTIFS(Puntuaciones!$C$5:$BJ$5,$A33,Puntuaciones!$C$62:$BJ$62,1,Puntuaciones!$C$4:$BJ$4,"&gt;="&amp;N$4,Puntuaciones!$C$4:$BJ$4,"&lt;="&amp;N$5))</f>
        <v>0</v>
      </c>
      <c r="O33" s="138" t="n">
        <f aca="false">IF($A33="","",COUNTIFS(Puntuaciones!$C$5:$BJ$5,$A33,Puntuaciones!$C$62:$BJ$62,1,Puntuaciones!$C$4:$BJ$4,"&gt;="&amp;O$4,Puntuaciones!$C$4:$BJ$4,"&lt;="&amp;O$5))</f>
        <v>0</v>
      </c>
      <c r="P33" s="108" t="str">
        <f aca="true">IF(A33="","",IF(SUMPRODUCT(($D$5:$O$5&lt;TODAY())*D14:O14)=0,"",SUMPRODUCT(($D$5:$O$5&lt;TODAY())*((D33:O33&lt;D14:O14)*D33:O33+(D33:O33&gt;=D14:O14)*D14:O14))/SUMPRODUCT(($D$5:$O$5&lt;TODAY())*D14:O14)))</f>
        <v/>
      </c>
    </row>
    <row r="34" customFormat="false" ht="15" hidden="false" customHeight="false" outlineLevel="0" collapsed="false">
      <c r="A34" s="133" t="str">
        <f aca="false">A15</f>
        <v>Control de calidad</v>
      </c>
      <c r="B34" s="137" t="str">
        <f aca="false">IF(B15="","",B15)</f>
        <v/>
      </c>
      <c r="C34" s="137" t="str">
        <f aca="false">IF(C15="","",C15)</f>
        <v/>
      </c>
      <c r="D34" s="138" t="n">
        <f aca="false">IF($A34="","",COUNTIFS(Puntuaciones!$C$5:$BJ$5,$A34,Puntuaciones!$C$62:$BJ$62,1,Puntuaciones!$C$4:$BJ$4,"&gt;="&amp;D$4,Puntuaciones!$C$4:$BJ$4,"&lt;="&amp;D$5))</f>
        <v>0</v>
      </c>
      <c r="E34" s="138" t="n">
        <f aca="false">IF($A34="","",COUNTIFS(Puntuaciones!$C$5:$BJ$5,$A34,Puntuaciones!$C$62:$BJ$62,1,Puntuaciones!$C$4:$BJ$4,"&gt;="&amp;E$4,Puntuaciones!$C$4:$BJ$4,"&lt;="&amp;E$5))</f>
        <v>0</v>
      </c>
      <c r="F34" s="138" t="n">
        <f aca="false">IF($A34="","",COUNTIFS(Puntuaciones!$C$5:$BJ$5,$A34,Puntuaciones!$C$62:$BJ$62,1,Puntuaciones!$C$4:$BJ$4,"&gt;="&amp;F$4,Puntuaciones!$C$4:$BJ$4,"&lt;="&amp;F$5))</f>
        <v>0</v>
      </c>
      <c r="G34" s="138" t="n">
        <f aca="false">IF($A34="","",COUNTIFS(Puntuaciones!$C$5:$BJ$5,$A34,Puntuaciones!$C$62:$BJ$62,1,Puntuaciones!$C$4:$BJ$4,"&gt;="&amp;G$4,Puntuaciones!$C$4:$BJ$4,"&lt;="&amp;G$5))</f>
        <v>0</v>
      </c>
      <c r="H34" s="138" t="n">
        <f aca="false">IF($A34="","",COUNTIFS(Puntuaciones!$C$5:$BJ$5,$A34,Puntuaciones!$C$62:$BJ$62,1,Puntuaciones!$C$4:$BJ$4,"&gt;="&amp;H$4,Puntuaciones!$C$4:$BJ$4,"&lt;="&amp;H$5))</f>
        <v>0</v>
      </c>
      <c r="I34" s="138" t="n">
        <f aca="false">IF($A34="","",COUNTIFS(Puntuaciones!$C$5:$BJ$5,$A34,Puntuaciones!$C$62:$BJ$62,1,Puntuaciones!$C$4:$BJ$4,"&gt;="&amp;I$4,Puntuaciones!$C$4:$BJ$4,"&lt;="&amp;I$5))</f>
        <v>0</v>
      </c>
      <c r="J34" s="138" t="n">
        <f aca="false">IF($A34="","",COUNTIFS(Puntuaciones!$C$5:$BJ$5,$A34,Puntuaciones!$C$62:$BJ$62,1,Puntuaciones!$C$4:$BJ$4,"&gt;="&amp;J$4,Puntuaciones!$C$4:$BJ$4,"&lt;="&amp;J$5))</f>
        <v>0</v>
      </c>
      <c r="K34" s="138" t="n">
        <f aca="false">IF($A34="","",COUNTIFS(Puntuaciones!$C$5:$BJ$5,$A34,Puntuaciones!$C$62:$BJ$62,1,Puntuaciones!$C$4:$BJ$4,"&gt;="&amp;K$4,Puntuaciones!$C$4:$BJ$4,"&lt;="&amp;K$5))</f>
        <v>0</v>
      </c>
      <c r="L34" s="138" t="n">
        <f aca="false">IF($A34="","",COUNTIFS(Puntuaciones!$C$5:$BJ$5,$A34,Puntuaciones!$C$62:$BJ$62,1,Puntuaciones!$C$4:$BJ$4,"&gt;="&amp;L$4,Puntuaciones!$C$4:$BJ$4,"&lt;="&amp;L$5))</f>
        <v>0</v>
      </c>
      <c r="M34" s="138" t="n">
        <f aca="false">IF($A34="","",COUNTIFS(Puntuaciones!$C$5:$BJ$5,$A34,Puntuaciones!$C$62:$BJ$62,1,Puntuaciones!$C$4:$BJ$4,"&gt;="&amp;M$4,Puntuaciones!$C$4:$BJ$4,"&lt;="&amp;M$5))</f>
        <v>0</v>
      </c>
      <c r="N34" s="138" t="n">
        <f aca="false">IF($A34="","",COUNTIFS(Puntuaciones!$C$5:$BJ$5,$A34,Puntuaciones!$C$62:$BJ$62,1,Puntuaciones!$C$4:$BJ$4,"&gt;="&amp;N$4,Puntuaciones!$C$4:$BJ$4,"&lt;="&amp;N$5))</f>
        <v>0</v>
      </c>
      <c r="O34" s="138" t="n">
        <f aca="false">IF($A34="","",COUNTIFS(Puntuaciones!$C$5:$BJ$5,$A34,Puntuaciones!$C$62:$BJ$62,1,Puntuaciones!$C$4:$BJ$4,"&gt;="&amp;O$4,Puntuaciones!$C$4:$BJ$4,"&lt;="&amp;O$5))</f>
        <v>0</v>
      </c>
      <c r="P34" s="108" t="str">
        <f aca="true">IF(A34="","",IF(SUMPRODUCT(($D$5:$O$5&lt;TODAY())*D15:O15)=0,"",SUMPRODUCT(($D$5:$O$5&lt;TODAY())*((D34:O34&lt;D15:O15)*D34:O34+(D34:O34&gt;=D15:O15)*D15:O15))/SUMPRODUCT(($D$5:$O$5&lt;TODAY())*D15:O15)))</f>
        <v/>
      </c>
    </row>
    <row r="35" customFormat="false" ht="15" hidden="false" customHeight="false" outlineLevel="0" collapsed="false">
      <c r="A35" s="133" t="str">
        <f aca="false">A16</f>
        <v>Embalaje</v>
      </c>
      <c r="B35" s="137" t="str">
        <f aca="false">IF(B16="","",B16)</f>
        <v/>
      </c>
      <c r="C35" s="137" t="str">
        <f aca="false">IF(C16="","",C16)</f>
        <v/>
      </c>
      <c r="D35" s="138" t="n">
        <f aca="false">IF($A35="","",COUNTIFS(Puntuaciones!$C$5:$BJ$5,$A35,Puntuaciones!$C$62:$BJ$62,1,Puntuaciones!$C$4:$BJ$4,"&gt;="&amp;D$4,Puntuaciones!$C$4:$BJ$4,"&lt;="&amp;D$5))</f>
        <v>0</v>
      </c>
      <c r="E35" s="138" t="n">
        <f aca="false">IF($A35="","",COUNTIFS(Puntuaciones!$C$5:$BJ$5,$A35,Puntuaciones!$C$62:$BJ$62,1,Puntuaciones!$C$4:$BJ$4,"&gt;="&amp;E$4,Puntuaciones!$C$4:$BJ$4,"&lt;="&amp;E$5))</f>
        <v>0</v>
      </c>
      <c r="F35" s="138" t="n">
        <f aca="false">IF($A35="","",COUNTIFS(Puntuaciones!$C$5:$BJ$5,$A35,Puntuaciones!$C$62:$BJ$62,1,Puntuaciones!$C$4:$BJ$4,"&gt;="&amp;F$4,Puntuaciones!$C$4:$BJ$4,"&lt;="&amp;F$5))</f>
        <v>0</v>
      </c>
      <c r="G35" s="138" t="n">
        <f aca="false">IF($A35="","",COUNTIFS(Puntuaciones!$C$5:$BJ$5,$A35,Puntuaciones!$C$62:$BJ$62,1,Puntuaciones!$C$4:$BJ$4,"&gt;="&amp;G$4,Puntuaciones!$C$4:$BJ$4,"&lt;="&amp;G$5))</f>
        <v>0</v>
      </c>
      <c r="H35" s="138" t="n">
        <f aca="false">IF($A35="","",COUNTIFS(Puntuaciones!$C$5:$BJ$5,$A35,Puntuaciones!$C$62:$BJ$62,1,Puntuaciones!$C$4:$BJ$4,"&gt;="&amp;H$4,Puntuaciones!$C$4:$BJ$4,"&lt;="&amp;H$5))</f>
        <v>0</v>
      </c>
      <c r="I35" s="138" t="n">
        <f aca="false">IF($A35="","",COUNTIFS(Puntuaciones!$C$5:$BJ$5,$A35,Puntuaciones!$C$62:$BJ$62,1,Puntuaciones!$C$4:$BJ$4,"&gt;="&amp;I$4,Puntuaciones!$C$4:$BJ$4,"&lt;="&amp;I$5))</f>
        <v>0</v>
      </c>
      <c r="J35" s="138" t="n">
        <f aca="false">IF($A35="","",COUNTIFS(Puntuaciones!$C$5:$BJ$5,$A35,Puntuaciones!$C$62:$BJ$62,1,Puntuaciones!$C$4:$BJ$4,"&gt;="&amp;J$4,Puntuaciones!$C$4:$BJ$4,"&lt;="&amp;J$5))</f>
        <v>0</v>
      </c>
      <c r="K35" s="138" t="n">
        <f aca="false">IF($A35="","",COUNTIFS(Puntuaciones!$C$5:$BJ$5,$A35,Puntuaciones!$C$62:$BJ$62,1,Puntuaciones!$C$4:$BJ$4,"&gt;="&amp;K$4,Puntuaciones!$C$4:$BJ$4,"&lt;="&amp;K$5))</f>
        <v>0</v>
      </c>
      <c r="L35" s="138" t="n">
        <f aca="false">IF($A35="","",COUNTIFS(Puntuaciones!$C$5:$BJ$5,$A35,Puntuaciones!$C$62:$BJ$62,1,Puntuaciones!$C$4:$BJ$4,"&gt;="&amp;L$4,Puntuaciones!$C$4:$BJ$4,"&lt;="&amp;L$5))</f>
        <v>0</v>
      </c>
      <c r="M35" s="138" t="n">
        <f aca="false">IF($A35="","",COUNTIFS(Puntuaciones!$C$5:$BJ$5,$A35,Puntuaciones!$C$62:$BJ$62,1,Puntuaciones!$C$4:$BJ$4,"&gt;="&amp;M$4,Puntuaciones!$C$4:$BJ$4,"&lt;="&amp;M$5))</f>
        <v>0</v>
      </c>
      <c r="N35" s="138" t="n">
        <f aca="false">IF($A35="","",COUNTIFS(Puntuaciones!$C$5:$BJ$5,$A35,Puntuaciones!$C$62:$BJ$62,1,Puntuaciones!$C$4:$BJ$4,"&gt;="&amp;N$4,Puntuaciones!$C$4:$BJ$4,"&lt;="&amp;N$5))</f>
        <v>0</v>
      </c>
      <c r="O35" s="138" t="n">
        <f aca="false">IF($A35="","",COUNTIFS(Puntuaciones!$C$5:$BJ$5,$A35,Puntuaciones!$C$62:$BJ$62,1,Puntuaciones!$C$4:$BJ$4,"&gt;="&amp;O$4,Puntuaciones!$C$4:$BJ$4,"&lt;="&amp;O$5))</f>
        <v>0</v>
      </c>
      <c r="P35" s="108" t="str">
        <f aca="true">IF(A35="","",IF(SUMPRODUCT(($D$5:$O$5&lt;TODAY())*D16:O16)=0,"",SUMPRODUCT(($D$5:$O$5&lt;TODAY())*((D35:O35&lt;D16:O16)*D35:O35+(D35:O35&gt;=D16:O16)*D16:O16))/SUMPRODUCT(($D$5:$O$5&lt;TODAY())*D16:O16)))</f>
        <v/>
      </c>
    </row>
    <row r="36" customFormat="false" ht="15" hidden="false" customHeight="false" outlineLevel="0" collapsed="false">
      <c r="A36" s="133" t="str">
        <f aca="false">A17</f>
        <v/>
      </c>
      <c r="B36" s="137" t="str">
        <f aca="false">IF(B17="","",B17)</f>
        <v/>
      </c>
      <c r="C36" s="137" t="str">
        <f aca="false">IF(C17="","",C17)</f>
        <v/>
      </c>
      <c r="D36" s="138" t="str">
        <f aca="false">IF($A36="","",COUNTIFS(Puntuaciones!$C$5:$BJ$5,$A36,Puntuaciones!$C$62:$BJ$62,1,Puntuaciones!$C$4:$BJ$4,"&gt;="&amp;D$4,Puntuaciones!$C$4:$BJ$4,"&lt;="&amp;D$5))</f>
        <v/>
      </c>
      <c r="E36" s="138" t="str">
        <f aca="false">IF($A36="","",COUNTIFS(Puntuaciones!$C$5:$BJ$5,$A36,Puntuaciones!$C$62:$BJ$62,1,Puntuaciones!$C$4:$BJ$4,"&gt;="&amp;E$4,Puntuaciones!$C$4:$BJ$4,"&lt;="&amp;E$5))</f>
        <v/>
      </c>
      <c r="F36" s="138" t="str">
        <f aca="false">IF($A36="","",COUNTIFS(Puntuaciones!$C$5:$BJ$5,$A36,Puntuaciones!$C$62:$BJ$62,1,Puntuaciones!$C$4:$BJ$4,"&gt;="&amp;F$4,Puntuaciones!$C$4:$BJ$4,"&lt;="&amp;F$5))</f>
        <v/>
      </c>
      <c r="G36" s="138" t="str">
        <f aca="false">IF($A36="","",COUNTIFS(Puntuaciones!$C$5:$BJ$5,$A36,Puntuaciones!$C$62:$BJ$62,1,Puntuaciones!$C$4:$BJ$4,"&gt;="&amp;G$4,Puntuaciones!$C$4:$BJ$4,"&lt;="&amp;G$5))</f>
        <v/>
      </c>
      <c r="H36" s="138" t="str">
        <f aca="false">IF($A36="","",COUNTIFS(Puntuaciones!$C$5:$BJ$5,$A36,Puntuaciones!$C$62:$BJ$62,1,Puntuaciones!$C$4:$BJ$4,"&gt;="&amp;H$4,Puntuaciones!$C$4:$BJ$4,"&lt;="&amp;H$5))</f>
        <v/>
      </c>
      <c r="I36" s="138" t="str">
        <f aca="false">IF($A36="","",COUNTIFS(Puntuaciones!$C$5:$BJ$5,$A36,Puntuaciones!$C$62:$BJ$62,1,Puntuaciones!$C$4:$BJ$4,"&gt;="&amp;I$4,Puntuaciones!$C$4:$BJ$4,"&lt;="&amp;I$5))</f>
        <v/>
      </c>
      <c r="J36" s="138" t="str">
        <f aca="false">IF($A36="","",COUNTIFS(Puntuaciones!$C$5:$BJ$5,$A36,Puntuaciones!$C$62:$BJ$62,1,Puntuaciones!$C$4:$BJ$4,"&gt;="&amp;J$4,Puntuaciones!$C$4:$BJ$4,"&lt;="&amp;J$5))</f>
        <v/>
      </c>
      <c r="K36" s="138" t="str">
        <f aca="false">IF($A36="","",COUNTIFS(Puntuaciones!$C$5:$BJ$5,$A36,Puntuaciones!$C$62:$BJ$62,1,Puntuaciones!$C$4:$BJ$4,"&gt;="&amp;K$4,Puntuaciones!$C$4:$BJ$4,"&lt;="&amp;K$5))</f>
        <v/>
      </c>
      <c r="L36" s="138" t="str">
        <f aca="false">IF($A36="","",COUNTIFS(Puntuaciones!$C$5:$BJ$5,$A36,Puntuaciones!$C$62:$BJ$62,1,Puntuaciones!$C$4:$BJ$4,"&gt;="&amp;L$4,Puntuaciones!$C$4:$BJ$4,"&lt;="&amp;L$5))</f>
        <v/>
      </c>
      <c r="M36" s="138" t="str">
        <f aca="false">IF($A36="","",COUNTIFS(Puntuaciones!$C$5:$BJ$5,$A36,Puntuaciones!$C$62:$BJ$62,1,Puntuaciones!$C$4:$BJ$4,"&gt;="&amp;M$4,Puntuaciones!$C$4:$BJ$4,"&lt;="&amp;M$5))</f>
        <v/>
      </c>
      <c r="N36" s="138" t="str">
        <f aca="false">IF($A36="","",COUNTIFS(Puntuaciones!$C$5:$BJ$5,$A36,Puntuaciones!$C$62:$BJ$62,1,Puntuaciones!$C$4:$BJ$4,"&gt;="&amp;N$4,Puntuaciones!$C$4:$BJ$4,"&lt;="&amp;N$5))</f>
        <v/>
      </c>
      <c r="O36" s="138" t="str">
        <f aca="false">IF($A36="","",COUNTIFS(Puntuaciones!$C$5:$BJ$5,$A36,Puntuaciones!$C$62:$BJ$62,1,Puntuaciones!$C$4:$BJ$4,"&gt;="&amp;O$4,Puntuaciones!$C$4:$BJ$4,"&lt;="&amp;O$5))</f>
        <v/>
      </c>
      <c r="P36" s="108" t="str">
        <f aca="true">IF(A36="","",IF(SUMPRODUCT(($D$5:$O$5&lt;TODAY())*D17:O17)=0,"",SUMPRODUCT(($D$5:$O$5&lt;TODAY())*((D36:O36&lt;D17:O17)*D36:O36+(D36:O36&gt;=D17:O17)*D17:O17))/SUMPRODUCT(($D$5:$O$5&lt;TODAY())*D17:O17)))</f>
        <v/>
      </c>
    </row>
    <row r="37" customFormat="false" ht="15" hidden="false" customHeight="false" outlineLevel="0" collapsed="false">
      <c r="A37" s="133" t="str">
        <f aca="false">A18</f>
        <v/>
      </c>
      <c r="B37" s="137" t="str">
        <f aca="false">IF(B18="","",B18)</f>
        <v/>
      </c>
      <c r="C37" s="137" t="str">
        <f aca="false">IF(C18="","",C18)</f>
        <v/>
      </c>
      <c r="D37" s="138" t="str">
        <f aca="false">IF($A37="","",COUNTIFS(Puntuaciones!$C$5:$BJ$5,$A37,Puntuaciones!$C$62:$BJ$62,1,Puntuaciones!$C$4:$BJ$4,"&gt;="&amp;D$4,Puntuaciones!$C$4:$BJ$4,"&lt;="&amp;D$5))</f>
        <v/>
      </c>
      <c r="E37" s="138" t="str">
        <f aca="false">IF($A37="","",COUNTIFS(Puntuaciones!$C$5:$BJ$5,$A37,Puntuaciones!$C$62:$BJ$62,1,Puntuaciones!$C$4:$BJ$4,"&gt;="&amp;E$4,Puntuaciones!$C$4:$BJ$4,"&lt;="&amp;E$5))</f>
        <v/>
      </c>
      <c r="F37" s="138" t="str">
        <f aca="false">IF($A37="","",COUNTIFS(Puntuaciones!$C$5:$BJ$5,$A37,Puntuaciones!$C$62:$BJ$62,1,Puntuaciones!$C$4:$BJ$4,"&gt;="&amp;F$4,Puntuaciones!$C$4:$BJ$4,"&lt;="&amp;F$5))</f>
        <v/>
      </c>
      <c r="G37" s="138" t="str">
        <f aca="false">IF($A37="","",COUNTIFS(Puntuaciones!$C$5:$BJ$5,$A37,Puntuaciones!$C$62:$BJ$62,1,Puntuaciones!$C$4:$BJ$4,"&gt;="&amp;G$4,Puntuaciones!$C$4:$BJ$4,"&lt;="&amp;G$5))</f>
        <v/>
      </c>
      <c r="H37" s="138" t="str">
        <f aca="false">IF($A37="","",COUNTIFS(Puntuaciones!$C$5:$BJ$5,$A37,Puntuaciones!$C$62:$BJ$62,1,Puntuaciones!$C$4:$BJ$4,"&gt;="&amp;H$4,Puntuaciones!$C$4:$BJ$4,"&lt;="&amp;H$5))</f>
        <v/>
      </c>
      <c r="I37" s="138" t="str">
        <f aca="false">IF($A37="","",COUNTIFS(Puntuaciones!$C$5:$BJ$5,$A37,Puntuaciones!$C$62:$BJ$62,1,Puntuaciones!$C$4:$BJ$4,"&gt;="&amp;I$4,Puntuaciones!$C$4:$BJ$4,"&lt;="&amp;I$5))</f>
        <v/>
      </c>
      <c r="J37" s="138" t="str">
        <f aca="false">IF($A37="","",COUNTIFS(Puntuaciones!$C$5:$BJ$5,$A37,Puntuaciones!$C$62:$BJ$62,1,Puntuaciones!$C$4:$BJ$4,"&gt;="&amp;J$4,Puntuaciones!$C$4:$BJ$4,"&lt;="&amp;J$5))</f>
        <v/>
      </c>
      <c r="K37" s="138" t="str">
        <f aca="false">IF($A37="","",COUNTIFS(Puntuaciones!$C$5:$BJ$5,$A37,Puntuaciones!$C$62:$BJ$62,1,Puntuaciones!$C$4:$BJ$4,"&gt;="&amp;K$4,Puntuaciones!$C$4:$BJ$4,"&lt;="&amp;K$5))</f>
        <v/>
      </c>
      <c r="L37" s="138" t="str">
        <f aca="false">IF($A37="","",COUNTIFS(Puntuaciones!$C$5:$BJ$5,$A37,Puntuaciones!$C$62:$BJ$62,1,Puntuaciones!$C$4:$BJ$4,"&gt;="&amp;L$4,Puntuaciones!$C$4:$BJ$4,"&lt;="&amp;L$5))</f>
        <v/>
      </c>
      <c r="M37" s="138" t="str">
        <f aca="false">IF($A37="","",COUNTIFS(Puntuaciones!$C$5:$BJ$5,$A37,Puntuaciones!$C$62:$BJ$62,1,Puntuaciones!$C$4:$BJ$4,"&gt;="&amp;M$4,Puntuaciones!$C$4:$BJ$4,"&lt;="&amp;M$5))</f>
        <v/>
      </c>
      <c r="N37" s="138" t="str">
        <f aca="false">IF($A37="","",COUNTIFS(Puntuaciones!$C$5:$BJ$5,$A37,Puntuaciones!$C$62:$BJ$62,1,Puntuaciones!$C$4:$BJ$4,"&gt;="&amp;N$4,Puntuaciones!$C$4:$BJ$4,"&lt;="&amp;N$5))</f>
        <v/>
      </c>
      <c r="O37" s="138" t="str">
        <f aca="false">IF($A37="","",COUNTIFS(Puntuaciones!$C$5:$BJ$5,$A37,Puntuaciones!$C$62:$BJ$62,1,Puntuaciones!$C$4:$BJ$4,"&gt;="&amp;O$4,Puntuaciones!$C$4:$BJ$4,"&lt;="&amp;O$5))</f>
        <v/>
      </c>
      <c r="P37" s="108" t="str">
        <f aca="true">IF(A37="","",IF(SUMPRODUCT(($D$5:$O$5&lt;TODAY())*D18:O18)=0,"",SUMPRODUCT(($D$5:$O$5&lt;TODAY())*((D37:O37&lt;D18:O18)*D37:O37+(D37:O37&gt;=D18:O18)*D18:O18))/SUMPRODUCT(($D$5:$O$5&lt;TODAY())*D18:O18)))</f>
        <v/>
      </c>
    </row>
    <row r="38" customFormat="false" ht="15" hidden="false" customHeight="false" outlineLevel="0" collapsed="false">
      <c r="A38" s="133" t="str">
        <f aca="false">A19</f>
        <v/>
      </c>
      <c r="B38" s="137" t="str">
        <f aca="false">IF(B19="","",B19)</f>
        <v/>
      </c>
      <c r="C38" s="137" t="str">
        <f aca="false">IF(C19="","",C19)</f>
        <v/>
      </c>
      <c r="D38" s="138" t="str">
        <f aca="false">IF($A38="","",COUNTIFS(Puntuaciones!$C$5:$BJ$5,$A38,Puntuaciones!$C$62:$BJ$62,1,Puntuaciones!$C$4:$BJ$4,"&gt;="&amp;D$4,Puntuaciones!$C$4:$BJ$4,"&lt;="&amp;D$5))</f>
        <v/>
      </c>
      <c r="E38" s="138" t="str">
        <f aca="false">IF($A38="","",COUNTIFS(Puntuaciones!$C$5:$BJ$5,$A38,Puntuaciones!$C$62:$BJ$62,1,Puntuaciones!$C$4:$BJ$4,"&gt;="&amp;E$4,Puntuaciones!$C$4:$BJ$4,"&lt;="&amp;E$5))</f>
        <v/>
      </c>
      <c r="F38" s="138" t="str">
        <f aca="false">IF($A38="","",COUNTIFS(Puntuaciones!$C$5:$BJ$5,$A38,Puntuaciones!$C$62:$BJ$62,1,Puntuaciones!$C$4:$BJ$4,"&gt;="&amp;F$4,Puntuaciones!$C$4:$BJ$4,"&lt;="&amp;F$5))</f>
        <v/>
      </c>
      <c r="G38" s="138" t="str">
        <f aca="false">IF($A38="","",COUNTIFS(Puntuaciones!$C$5:$BJ$5,$A38,Puntuaciones!$C$62:$BJ$62,1,Puntuaciones!$C$4:$BJ$4,"&gt;="&amp;G$4,Puntuaciones!$C$4:$BJ$4,"&lt;="&amp;G$5))</f>
        <v/>
      </c>
      <c r="H38" s="138" t="str">
        <f aca="false">IF($A38="","",COUNTIFS(Puntuaciones!$C$5:$BJ$5,$A38,Puntuaciones!$C$62:$BJ$62,1,Puntuaciones!$C$4:$BJ$4,"&gt;="&amp;H$4,Puntuaciones!$C$4:$BJ$4,"&lt;="&amp;H$5))</f>
        <v/>
      </c>
      <c r="I38" s="138" t="str">
        <f aca="false">IF($A38="","",COUNTIFS(Puntuaciones!$C$5:$BJ$5,$A38,Puntuaciones!$C$62:$BJ$62,1,Puntuaciones!$C$4:$BJ$4,"&gt;="&amp;I$4,Puntuaciones!$C$4:$BJ$4,"&lt;="&amp;I$5))</f>
        <v/>
      </c>
      <c r="J38" s="138" t="str">
        <f aca="false">IF($A38="","",COUNTIFS(Puntuaciones!$C$5:$BJ$5,$A38,Puntuaciones!$C$62:$BJ$62,1,Puntuaciones!$C$4:$BJ$4,"&gt;="&amp;J$4,Puntuaciones!$C$4:$BJ$4,"&lt;="&amp;J$5))</f>
        <v/>
      </c>
      <c r="K38" s="138" t="str">
        <f aca="false">IF($A38="","",COUNTIFS(Puntuaciones!$C$5:$BJ$5,$A38,Puntuaciones!$C$62:$BJ$62,1,Puntuaciones!$C$4:$BJ$4,"&gt;="&amp;K$4,Puntuaciones!$C$4:$BJ$4,"&lt;="&amp;K$5))</f>
        <v/>
      </c>
      <c r="L38" s="138" t="str">
        <f aca="false">IF($A38="","",COUNTIFS(Puntuaciones!$C$5:$BJ$5,$A38,Puntuaciones!$C$62:$BJ$62,1,Puntuaciones!$C$4:$BJ$4,"&gt;="&amp;L$4,Puntuaciones!$C$4:$BJ$4,"&lt;="&amp;L$5))</f>
        <v/>
      </c>
      <c r="M38" s="138" t="str">
        <f aca="false">IF($A38="","",COUNTIFS(Puntuaciones!$C$5:$BJ$5,$A38,Puntuaciones!$C$62:$BJ$62,1,Puntuaciones!$C$4:$BJ$4,"&gt;="&amp;M$4,Puntuaciones!$C$4:$BJ$4,"&lt;="&amp;M$5))</f>
        <v/>
      </c>
      <c r="N38" s="138" t="str">
        <f aca="false">IF($A38="","",COUNTIFS(Puntuaciones!$C$5:$BJ$5,$A38,Puntuaciones!$C$62:$BJ$62,1,Puntuaciones!$C$4:$BJ$4,"&gt;="&amp;N$4,Puntuaciones!$C$4:$BJ$4,"&lt;="&amp;N$5))</f>
        <v/>
      </c>
      <c r="O38" s="138" t="str">
        <f aca="false">IF($A38="","",COUNTIFS(Puntuaciones!$C$5:$BJ$5,$A38,Puntuaciones!$C$62:$BJ$62,1,Puntuaciones!$C$4:$BJ$4,"&gt;="&amp;O$4,Puntuaciones!$C$4:$BJ$4,"&lt;="&amp;O$5))</f>
        <v/>
      </c>
      <c r="P38" s="108" t="str">
        <f aca="true">IF(A38="","",IF(SUMPRODUCT(($D$5:$O$5&lt;TODAY())*D19:O19)=0,"",SUMPRODUCT(($D$5:$O$5&lt;TODAY())*((D38:O38&lt;D19:O19)*D38:O38+(D38:O38&gt;=D19:O19)*D19:O19))/SUMPRODUCT(($D$5:$O$5&lt;TODAY())*D19:O19)))</f>
        <v/>
      </c>
    </row>
    <row r="39" customFormat="false" ht="15" hidden="false" customHeight="false" outlineLevel="0" collapsed="false">
      <c r="A39" s="133" t="str">
        <f aca="false">A20</f>
        <v/>
      </c>
      <c r="B39" s="137" t="str">
        <f aca="false">IF(B20="","",B20)</f>
        <v/>
      </c>
      <c r="C39" s="137" t="str">
        <f aca="false">IF(C20="","",C20)</f>
        <v/>
      </c>
      <c r="D39" s="138" t="str">
        <f aca="false">IF($A39="","",COUNTIFS(Puntuaciones!$C$5:$BJ$5,$A39,Puntuaciones!$C$62:$BJ$62,1,Puntuaciones!$C$4:$BJ$4,"&gt;="&amp;D$4,Puntuaciones!$C$4:$BJ$4,"&lt;="&amp;D$5))</f>
        <v/>
      </c>
      <c r="E39" s="138" t="str">
        <f aca="false">IF($A39="","",COUNTIFS(Puntuaciones!$C$5:$BJ$5,$A39,Puntuaciones!$C$62:$BJ$62,1,Puntuaciones!$C$4:$BJ$4,"&gt;="&amp;E$4,Puntuaciones!$C$4:$BJ$4,"&lt;="&amp;E$5))</f>
        <v/>
      </c>
      <c r="F39" s="138" t="str">
        <f aca="false">IF($A39="","",COUNTIFS(Puntuaciones!$C$5:$BJ$5,$A39,Puntuaciones!$C$62:$BJ$62,1,Puntuaciones!$C$4:$BJ$4,"&gt;="&amp;F$4,Puntuaciones!$C$4:$BJ$4,"&lt;="&amp;F$5))</f>
        <v/>
      </c>
      <c r="G39" s="138" t="str">
        <f aca="false">IF($A39="","",COUNTIFS(Puntuaciones!$C$5:$BJ$5,$A39,Puntuaciones!$C$62:$BJ$62,1,Puntuaciones!$C$4:$BJ$4,"&gt;="&amp;G$4,Puntuaciones!$C$4:$BJ$4,"&lt;="&amp;G$5))</f>
        <v/>
      </c>
      <c r="H39" s="138" t="str">
        <f aca="false">IF($A39="","",COUNTIFS(Puntuaciones!$C$5:$BJ$5,$A39,Puntuaciones!$C$62:$BJ$62,1,Puntuaciones!$C$4:$BJ$4,"&gt;="&amp;H$4,Puntuaciones!$C$4:$BJ$4,"&lt;="&amp;H$5))</f>
        <v/>
      </c>
      <c r="I39" s="138" t="str">
        <f aca="false">IF($A39="","",COUNTIFS(Puntuaciones!$C$5:$BJ$5,$A39,Puntuaciones!$C$62:$BJ$62,1,Puntuaciones!$C$4:$BJ$4,"&gt;="&amp;I$4,Puntuaciones!$C$4:$BJ$4,"&lt;="&amp;I$5))</f>
        <v/>
      </c>
      <c r="J39" s="138" t="str">
        <f aca="false">IF($A39="","",COUNTIFS(Puntuaciones!$C$5:$BJ$5,$A39,Puntuaciones!$C$62:$BJ$62,1,Puntuaciones!$C$4:$BJ$4,"&gt;="&amp;J$4,Puntuaciones!$C$4:$BJ$4,"&lt;="&amp;J$5))</f>
        <v/>
      </c>
      <c r="K39" s="138" t="str">
        <f aca="false">IF($A39="","",COUNTIFS(Puntuaciones!$C$5:$BJ$5,$A39,Puntuaciones!$C$62:$BJ$62,1,Puntuaciones!$C$4:$BJ$4,"&gt;="&amp;K$4,Puntuaciones!$C$4:$BJ$4,"&lt;="&amp;K$5))</f>
        <v/>
      </c>
      <c r="L39" s="138" t="str">
        <f aca="false">IF($A39="","",COUNTIFS(Puntuaciones!$C$5:$BJ$5,$A39,Puntuaciones!$C$62:$BJ$62,1,Puntuaciones!$C$4:$BJ$4,"&gt;="&amp;L$4,Puntuaciones!$C$4:$BJ$4,"&lt;="&amp;L$5))</f>
        <v/>
      </c>
      <c r="M39" s="138" t="str">
        <f aca="false">IF($A39="","",COUNTIFS(Puntuaciones!$C$5:$BJ$5,$A39,Puntuaciones!$C$62:$BJ$62,1,Puntuaciones!$C$4:$BJ$4,"&gt;="&amp;M$4,Puntuaciones!$C$4:$BJ$4,"&lt;="&amp;M$5))</f>
        <v/>
      </c>
      <c r="N39" s="138" t="str">
        <f aca="false">IF($A39="","",COUNTIFS(Puntuaciones!$C$5:$BJ$5,$A39,Puntuaciones!$C$62:$BJ$62,1,Puntuaciones!$C$4:$BJ$4,"&gt;="&amp;N$4,Puntuaciones!$C$4:$BJ$4,"&lt;="&amp;N$5))</f>
        <v/>
      </c>
      <c r="O39" s="138" t="str">
        <f aca="false">IF($A39="","",COUNTIFS(Puntuaciones!$C$5:$BJ$5,$A39,Puntuaciones!$C$62:$BJ$62,1,Puntuaciones!$C$4:$BJ$4,"&gt;="&amp;O$4,Puntuaciones!$C$4:$BJ$4,"&lt;="&amp;O$5))</f>
        <v/>
      </c>
      <c r="P39" s="108" t="str">
        <f aca="true">IF(A39="","",IF(SUMPRODUCT(($D$5:$O$5&lt;TODAY())*D20:O20)=0,"",SUMPRODUCT(($D$5:$O$5&lt;TODAY())*((D39:O39&lt;D20:O20)*D39:O39+(D39:O39&gt;=D20:O20)*D20:O20))/SUMPRODUCT(($D$5:$O$5&lt;TODAY())*D20:O20)))</f>
        <v/>
      </c>
    </row>
    <row r="40" customFormat="false" ht="15" hidden="false" customHeight="false" outlineLevel="0" collapsed="false">
      <c r="A40" s="133" t="str">
        <f aca="false">A21</f>
        <v/>
      </c>
      <c r="B40" s="137" t="str">
        <f aca="false">IF(B21="","",B21)</f>
        <v/>
      </c>
      <c r="C40" s="137" t="str">
        <f aca="false">IF(C21="","",C21)</f>
        <v/>
      </c>
      <c r="D40" s="138" t="str">
        <f aca="false">IF($A40="","",COUNTIFS(Puntuaciones!$C$5:$BJ$5,$A40,Puntuaciones!$C$62:$BJ$62,1,Puntuaciones!$C$4:$BJ$4,"&gt;="&amp;D$4,Puntuaciones!$C$4:$BJ$4,"&lt;="&amp;D$5))</f>
        <v/>
      </c>
      <c r="E40" s="138" t="str">
        <f aca="false">IF($A40="","",COUNTIFS(Puntuaciones!$C$5:$BJ$5,$A40,Puntuaciones!$C$62:$BJ$62,1,Puntuaciones!$C$4:$BJ$4,"&gt;="&amp;E$4,Puntuaciones!$C$4:$BJ$4,"&lt;="&amp;E$5))</f>
        <v/>
      </c>
      <c r="F40" s="138" t="str">
        <f aca="false">IF($A40="","",COUNTIFS(Puntuaciones!$C$5:$BJ$5,$A40,Puntuaciones!$C$62:$BJ$62,1,Puntuaciones!$C$4:$BJ$4,"&gt;="&amp;F$4,Puntuaciones!$C$4:$BJ$4,"&lt;="&amp;F$5))</f>
        <v/>
      </c>
      <c r="G40" s="138" t="str">
        <f aca="false">IF($A40="","",COUNTIFS(Puntuaciones!$C$5:$BJ$5,$A40,Puntuaciones!$C$62:$BJ$62,1,Puntuaciones!$C$4:$BJ$4,"&gt;="&amp;G$4,Puntuaciones!$C$4:$BJ$4,"&lt;="&amp;G$5))</f>
        <v/>
      </c>
      <c r="H40" s="138" t="str">
        <f aca="false">IF($A40="","",COUNTIFS(Puntuaciones!$C$5:$BJ$5,$A40,Puntuaciones!$C$62:$BJ$62,1,Puntuaciones!$C$4:$BJ$4,"&gt;="&amp;H$4,Puntuaciones!$C$4:$BJ$4,"&lt;="&amp;H$5))</f>
        <v/>
      </c>
      <c r="I40" s="138" t="str">
        <f aca="false">IF($A40="","",COUNTIFS(Puntuaciones!$C$5:$BJ$5,$A40,Puntuaciones!$C$62:$BJ$62,1,Puntuaciones!$C$4:$BJ$4,"&gt;="&amp;I$4,Puntuaciones!$C$4:$BJ$4,"&lt;="&amp;I$5))</f>
        <v/>
      </c>
      <c r="J40" s="138" t="str">
        <f aca="false">IF($A40="","",COUNTIFS(Puntuaciones!$C$5:$BJ$5,$A40,Puntuaciones!$C$62:$BJ$62,1,Puntuaciones!$C$4:$BJ$4,"&gt;="&amp;J$4,Puntuaciones!$C$4:$BJ$4,"&lt;="&amp;J$5))</f>
        <v/>
      </c>
      <c r="K40" s="138" t="str">
        <f aca="false">IF($A40="","",COUNTIFS(Puntuaciones!$C$5:$BJ$5,$A40,Puntuaciones!$C$62:$BJ$62,1,Puntuaciones!$C$4:$BJ$4,"&gt;="&amp;K$4,Puntuaciones!$C$4:$BJ$4,"&lt;="&amp;K$5))</f>
        <v/>
      </c>
      <c r="L40" s="138" t="str">
        <f aca="false">IF($A40="","",COUNTIFS(Puntuaciones!$C$5:$BJ$5,$A40,Puntuaciones!$C$62:$BJ$62,1,Puntuaciones!$C$4:$BJ$4,"&gt;="&amp;L$4,Puntuaciones!$C$4:$BJ$4,"&lt;="&amp;L$5))</f>
        <v/>
      </c>
      <c r="M40" s="138" t="str">
        <f aca="false">IF($A40="","",COUNTIFS(Puntuaciones!$C$5:$BJ$5,$A40,Puntuaciones!$C$62:$BJ$62,1,Puntuaciones!$C$4:$BJ$4,"&gt;="&amp;M$4,Puntuaciones!$C$4:$BJ$4,"&lt;="&amp;M$5))</f>
        <v/>
      </c>
      <c r="N40" s="138" t="str">
        <f aca="false">IF($A40="","",COUNTIFS(Puntuaciones!$C$5:$BJ$5,$A40,Puntuaciones!$C$62:$BJ$62,1,Puntuaciones!$C$4:$BJ$4,"&gt;="&amp;N$4,Puntuaciones!$C$4:$BJ$4,"&lt;="&amp;N$5))</f>
        <v/>
      </c>
      <c r="O40" s="138" t="str">
        <f aca="false">IF($A40="","",COUNTIFS(Puntuaciones!$C$5:$BJ$5,$A40,Puntuaciones!$C$62:$BJ$62,1,Puntuaciones!$C$4:$BJ$4,"&gt;="&amp;O$4,Puntuaciones!$C$4:$BJ$4,"&lt;="&amp;O$5))</f>
        <v/>
      </c>
      <c r="P40" s="108" t="str">
        <f aca="true">IF(A40="","",IF(SUMPRODUCT(($D$5:$O$5&lt;TODAY())*D21:O21)=0,"",SUMPRODUCT(($D$5:$O$5&lt;TODAY())*((D40:O40&lt;D21:O21)*D40:O40+(D40:O40&gt;=D21:O21)*D21:O21))/SUMPRODUCT(($D$5:$O$5&lt;TODAY())*D21:O21)))</f>
        <v/>
      </c>
    </row>
    <row r="41" customFormat="false" ht="15" hidden="false" customHeight="false" outlineLevel="0" collapsed="false">
      <c r="A41" s="133" t="str">
        <f aca="false">A22</f>
        <v/>
      </c>
      <c r="B41" s="137" t="str">
        <f aca="false">IF(B22="","",B22)</f>
        <v/>
      </c>
      <c r="C41" s="137" t="str">
        <f aca="false">IF(C22="","",C22)</f>
        <v/>
      </c>
      <c r="D41" s="138" t="str">
        <f aca="false">IF($A41="","",COUNTIFS(Puntuaciones!$C$5:$BJ$5,$A41,Puntuaciones!$C$62:$BJ$62,1,Puntuaciones!$C$4:$BJ$4,"&gt;="&amp;D$4,Puntuaciones!$C$4:$BJ$4,"&lt;="&amp;D$5))</f>
        <v/>
      </c>
      <c r="E41" s="138" t="str">
        <f aca="false">IF($A41="","",COUNTIFS(Puntuaciones!$C$5:$BJ$5,$A41,Puntuaciones!$C$62:$BJ$62,1,Puntuaciones!$C$4:$BJ$4,"&gt;="&amp;E$4,Puntuaciones!$C$4:$BJ$4,"&lt;="&amp;E$5))</f>
        <v/>
      </c>
      <c r="F41" s="138" t="str">
        <f aca="false">IF($A41="","",COUNTIFS(Puntuaciones!$C$5:$BJ$5,$A41,Puntuaciones!$C$62:$BJ$62,1,Puntuaciones!$C$4:$BJ$4,"&gt;="&amp;F$4,Puntuaciones!$C$4:$BJ$4,"&lt;="&amp;F$5))</f>
        <v/>
      </c>
      <c r="G41" s="138" t="str">
        <f aca="false">IF($A41="","",COUNTIFS(Puntuaciones!$C$5:$BJ$5,$A41,Puntuaciones!$C$62:$BJ$62,1,Puntuaciones!$C$4:$BJ$4,"&gt;="&amp;G$4,Puntuaciones!$C$4:$BJ$4,"&lt;="&amp;G$5))</f>
        <v/>
      </c>
      <c r="H41" s="138" t="str">
        <f aca="false">IF($A41="","",COUNTIFS(Puntuaciones!$C$5:$BJ$5,$A41,Puntuaciones!$C$62:$BJ$62,1,Puntuaciones!$C$4:$BJ$4,"&gt;="&amp;H$4,Puntuaciones!$C$4:$BJ$4,"&lt;="&amp;H$5))</f>
        <v/>
      </c>
      <c r="I41" s="138" t="str">
        <f aca="false">IF($A41="","",COUNTIFS(Puntuaciones!$C$5:$BJ$5,$A41,Puntuaciones!$C$62:$BJ$62,1,Puntuaciones!$C$4:$BJ$4,"&gt;="&amp;I$4,Puntuaciones!$C$4:$BJ$4,"&lt;="&amp;I$5))</f>
        <v/>
      </c>
      <c r="J41" s="138" t="str">
        <f aca="false">IF($A41="","",COUNTIFS(Puntuaciones!$C$5:$BJ$5,$A41,Puntuaciones!$C$62:$BJ$62,1,Puntuaciones!$C$4:$BJ$4,"&gt;="&amp;J$4,Puntuaciones!$C$4:$BJ$4,"&lt;="&amp;J$5))</f>
        <v/>
      </c>
      <c r="K41" s="138" t="str">
        <f aca="false">IF($A41="","",COUNTIFS(Puntuaciones!$C$5:$BJ$5,$A41,Puntuaciones!$C$62:$BJ$62,1,Puntuaciones!$C$4:$BJ$4,"&gt;="&amp;K$4,Puntuaciones!$C$4:$BJ$4,"&lt;="&amp;K$5))</f>
        <v/>
      </c>
      <c r="L41" s="138" t="str">
        <f aca="false">IF($A41="","",COUNTIFS(Puntuaciones!$C$5:$BJ$5,$A41,Puntuaciones!$C$62:$BJ$62,1,Puntuaciones!$C$4:$BJ$4,"&gt;="&amp;L$4,Puntuaciones!$C$4:$BJ$4,"&lt;="&amp;L$5))</f>
        <v/>
      </c>
      <c r="M41" s="138" t="str">
        <f aca="false">IF($A41="","",COUNTIFS(Puntuaciones!$C$5:$BJ$5,$A41,Puntuaciones!$C$62:$BJ$62,1,Puntuaciones!$C$4:$BJ$4,"&gt;="&amp;M$4,Puntuaciones!$C$4:$BJ$4,"&lt;="&amp;M$5))</f>
        <v/>
      </c>
      <c r="N41" s="138" t="str">
        <f aca="false">IF($A41="","",COUNTIFS(Puntuaciones!$C$5:$BJ$5,$A41,Puntuaciones!$C$62:$BJ$62,1,Puntuaciones!$C$4:$BJ$4,"&gt;="&amp;N$4,Puntuaciones!$C$4:$BJ$4,"&lt;="&amp;N$5))</f>
        <v/>
      </c>
      <c r="O41" s="138" t="str">
        <f aca="false">IF($A41="","",COUNTIFS(Puntuaciones!$C$5:$BJ$5,$A41,Puntuaciones!$C$62:$BJ$62,1,Puntuaciones!$C$4:$BJ$4,"&gt;="&amp;O$4,Puntuaciones!$C$4:$BJ$4,"&lt;="&amp;O$5))</f>
        <v/>
      </c>
      <c r="P41" s="108" t="str">
        <f aca="true">IF(A41="","",IF(SUMPRODUCT(($D$5:$O$5&lt;TODAY())*D22:O22)=0,"",SUMPRODUCT(($D$5:$O$5&lt;TODAY())*((D41:O41&lt;D22:O22)*D41:O41+(D41:O41&gt;=D22:O22)*D22:O22))/SUMPRODUCT(($D$5:$O$5&lt;TODAY())*D22:O22)))</f>
        <v/>
      </c>
    </row>
    <row r="42" customFormat="false" ht="15" hidden="false" customHeight="false" outlineLevel="0" collapsed="false">
      <c r="A42" s="133" t="str">
        <f aca="false">A23</f>
        <v/>
      </c>
      <c r="B42" s="137" t="str">
        <f aca="false">IF(B23="","",B23)</f>
        <v/>
      </c>
      <c r="C42" s="137" t="str">
        <f aca="false">IF(C23="","",C23)</f>
        <v/>
      </c>
      <c r="D42" s="138" t="str">
        <f aca="false">IF($A42="","",COUNTIFS(Puntuaciones!$C$5:$BJ$5,$A42,Puntuaciones!$C$62:$BJ$62,1,Puntuaciones!$C$4:$BJ$4,"&gt;="&amp;D$4,Puntuaciones!$C$4:$BJ$4,"&lt;="&amp;D$5))</f>
        <v/>
      </c>
      <c r="E42" s="138" t="str">
        <f aca="false">IF($A42="","",COUNTIFS(Puntuaciones!$C$5:$BJ$5,$A42,Puntuaciones!$C$62:$BJ$62,1,Puntuaciones!$C$4:$BJ$4,"&gt;="&amp;E$4,Puntuaciones!$C$4:$BJ$4,"&lt;="&amp;E$5))</f>
        <v/>
      </c>
      <c r="F42" s="138" t="str">
        <f aca="false">IF($A42="","",COUNTIFS(Puntuaciones!$C$5:$BJ$5,$A42,Puntuaciones!$C$62:$BJ$62,1,Puntuaciones!$C$4:$BJ$4,"&gt;="&amp;F$4,Puntuaciones!$C$4:$BJ$4,"&lt;="&amp;F$5))</f>
        <v/>
      </c>
      <c r="G42" s="138" t="str">
        <f aca="false">IF($A42="","",COUNTIFS(Puntuaciones!$C$5:$BJ$5,$A42,Puntuaciones!$C$62:$BJ$62,1,Puntuaciones!$C$4:$BJ$4,"&gt;="&amp;G$4,Puntuaciones!$C$4:$BJ$4,"&lt;="&amp;G$5))</f>
        <v/>
      </c>
      <c r="H42" s="138" t="str">
        <f aca="false">IF($A42="","",COUNTIFS(Puntuaciones!$C$5:$BJ$5,$A42,Puntuaciones!$C$62:$BJ$62,1,Puntuaciones!$C$4:$BJ$4,"&gt;="&amp;H$4,Puntuaciones!$C$4:$BJ$4,"&lt;="&amp;H$5))</f>
        <v/>
      </c>
      <c r="I42" s="138" t="str">
        <f aca="false">IF($A42="","",COUNTIFS(Puntuaciones!$C$5:$BJ$5,$A42,Puntuaciones!$C$62:$BJ$62,1,Puntuaciones!$C$4:$BJ$4,"&gt;="&amp;I$4,Puntuaciones!$C$4:$BJ$4,"&lt;="&amp;I$5))</f>
        <v/>
      </c>
      <c r="J42" s="138" t="str">
        <f aca="false">IF($A42="","",COUNTIFS(Puntuaciones!$C$5:$BJ$5,$A42,Puntuaciones!$C$62:$BJ$62,1,Puntuaciones!$C$4:$BJ$4,"&gt;="&amp;J$4,Puntuaciones!$C$4:$BJ$4,"&lt;="&amp;J$5))</f>
        <v/>
      </c>
      <c r="K42" s="138" t="str">
        <f aca="false">IF($A42="","",COUNTIFS(Puntuaciones!$C$5:$BJ$5,$A42,Puntuaciones!$C$62:$BJ$62,1,Puntuaciones!$C$4:$BJ$4,"&gt;="&amp;K$4,Puntuaciones!$C$4:$BJ$4,"&lt;="&amp;K$5))</f>
        <v/>
      </c>
      <c r="L42" s="138" t="str">
        <f aca="false">IF($A42="","",COUNTIFS(Puntuaciones!$C$5:$BJ$5,$A42,Puntuaciones!$C$62:$BJ$62,1,Puntuaciones!$C$4:$BJ$4,"&gt;="&amp;L$4,Puntuaciones!$C$4:$BJ$4,"&lt;="&amp;L$5))</f>
        <v/>
      </c>
      <c r="M42" s="138" t="str">
        <f aca="false">IF($A42="","",COUNTIFS(Puntuaciones!$C$5:$BJ$5,$A42,Puntuaciones!$C$62:$BJ$62,1,Puntuaciones!$C$4:$BJ$4,"&gt;="&amp;M$4,Puntuaciones!$C$4:$BJ$4,"&lt;="&amp;M$5))</f>
        <v/>
      </c>
      <c r="N42" s="138" t="str">
        <f aca="false">IF($A42="","",COUNTIFS(Puntuaciones!$C$5:$BJ$5,$A42,Puntuaciones!$C$62:$BJ$62,1,Puntuaciones!$C$4:$BJ$4,"&gt;="&amp;N$4,Puntuaciones!$C$4:$BJ$4,"&lt;="&amp;N$5))</f>
        <v/>
      </c>
      <c r="O42" s="138" t="str">
        <f aca="false">IF($A42="","",COUNTIFS(Puntuaciones!$C$5:$BJ$5,$A42,Puntuaciones!$C$62:$BJ$62,1,Puntuaciones!$C$4:$BJ$4,"&gt;="&amp;O$4,Puntuaciones!$C$4:$BJ$4,"&lt;="&amp;O$5))</f>
        <v/>
      </c>
      <c r="P42" s="108" t="str">
        <f aca="true">IF(A42="","",IF(SUMPRODUCT(($D$5:$O$5&lt;TODAY())*D23:O23)=0,"",SUMPRODUCT(($D$5:$O$5&lt;TODAY())*((D42:O42&lt;D23:O23)*D42:O42+(D42:O42&gt;=D23:O23)*D23:O23))/SUMPRODUCT(($D$5:$O$5&lt;TODAY())*D23:O23)))</f>
        <v/>
      </c>
    </row>
    <row r="44" customFormat="false" ht="15" hidden="false" customHeight="false" outlineLevel="0" collapsed="false">
      <c r="A44" s="28" t="s">
        <v>440</v>
      </c>
    </row>
  </sheetData>
  <mergeCells count="2">
    <mergeCell ref="A1:Q1"/>
    <mergeCell ref="A2:Q2"/>
  </mergeCells>
  <conditionalFormatting sqref="D28:O42">
    <cfRule type="expression" priority="2" aboveAverage="0" equalAverage="0" bottom="0" percent="0" rank="0" text="" dxfId="4">
      <formula>AND(D28&lt;&gt;"",D9&gt;0,D28&gt;=D9)</formula>
    </cfRule>
    <cfRule type="expression" priority="3" aboveAverage="0" equalAverage="0" bottom="0" percent="0" rank="0" text="" dxfId="0">
      <formula>AND(D9&gt;0,N(D28)&lt;D9,D$5&lt;TODAY())</formula>
    </cfRule>
    <cfRule type="expression" priority="4" aboveAverage="0" equalAverage="0" bottom="0" percent="0" rank="0" text="" dxfId="20">
      <formula>AND(D9&gt;0,N(D28)&lt;D9)</formula>
    </cfRule>
  </conditionalFormatting>
  <conditionalFormatting sqref="P28:P42">
    <cfRule type="expression" priority="5" aboveAverage="0" equalAverage="0" bottom="0" percent="0" rank="0" text="" dxfId="4">
      <formula>AND(ISNUMBER(P28),P28&gt;=0.9)</formula>
    </cfRule>
    <cfRule type="expression" priority="6" aboveAverage="0" equalAverage="0" bottom="0" percent="0" rank="0" text="" dxfId="2">
      <formula>AND(ISNUMBER(P28),P28&gt;=0.7)</formula>
    </cfRule>
    <cfRule type="expression" priority="7" aboveAverage="0" equalAverage="0" bottom="0" percent="0" rank="0" text="" dxfId="0">
      <formula>ISNUMBER(P28)</formula>
    </cfRule>
  </conditionalFormatting>
  <dataValidations count="2">
    <dataValidation allowBlank="true" errorStyle="stop" operator="between" showDropDown="false" showErrorMessage="false" showInputMessage="false" sqref="C9:C23" type="list">
      <formula1>"Cada semana,Cada 2 semanas,Cada mes,Cada 2 meses,Cada trimestre,Cada semestre"</formula1>
      <formula2>0</formula2>
    </dataValidation>
    <dataValidation allowBlank="true" errorStyle="stop" operator="between" showDropDown="false" showErrorMessage="false" showInputMessage="false" sqref="B9:B23" type="list">
      <formula1>Lista_audytorow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50C8"/>
    <pageSetUpPr fitToPage="tru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62"/>
    <col collapsed="false" customWidth="true" hidden="false" outlineLevel="0" max="5" min="5" style="0" width="22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30"/>
  </cols>
  <sheetData>
    <row r="1" customFormat="false" ht="30" hidden="false" customHeight="true" outlineLevel="0" collapsed="false">
      <c r="A1" s="21" t="s">
        <v>441</v>
      </c>
      <c r="B1" s="21"/>
      <c r="C1" s="21"/>
      <c r="D1" s="21"/>
      <c r="E1" s="21"/>
      <c r="F1" s="21"/>
      <c r="G1" s="21"/>
      <c r="H1" s="21"/>
    </row>
    <row r="2" customFormat="false" ht="30" hidden="false" customHeight="true" outlineLevel="0" collapsed="false">
      <c r="A2" s="22" t="s">
        <v>442</v>
      </c>
      <c r="B2" s="22"/>
      <c r="C2" s="22"/>
      <c r="D2" s="22"/>
      <c r="E2" s="22"/>
      <c r="F2" s="22"/>
      <c r="G2" s="22"/>
      <c r="H2" s="22"/>
    </row>
    <row r="3" customFormat="false" ht="15" hidden="false" customHeight="false" outlineLevel="0" collapsed="false">
      <c r="A3" s="29" t="s">
        <v>443</v>
      </c>
    </row>
    <row r="4" customFormat="false" ht="15" hidden="false" customHeight="false" outlineLevel="0" collapsed="false">
      <c r="B4" s="26" t="s">
        <v>444</v>
      </c>
      <c r="C4" s="26" t="s">
        <v>445</v>
      </c>
      <c r="D4" s="26" t="s">
        <v>91</v>
      </c>
      <c r="E4" s="26" t="s">
        <v>446</v>
      </c>
    </row>
    <row r="5" customFormat="false" ht="15" hidden="false" customHeight="false" outlineLevel="0" collapsed="false">
      <c r="B5" s="31" t="s">
        <v>447</v>
      </c>
      <c r="C5" s="135" t="n">
        <f aca="false">COUNTIFS($B$11:$B$37,B5)-COUNTIFS($B$11:$B$37,B5,$G$11:$G$37,"No aplica")</f>
        <v>12</v>
      </c>
      <c r="D5" s="135" t="n">
        <f aca="false">COUNTIFS($B$11:$B$37,B5,$G$11:$G$37,"Hecho")</f>
        <v>0</v>
      </c>
      <c r="E5" s="108" t="n">
        <f aca="false">IF(C5=0,"",D5/C5)</f>
        <v>0</v>
      </c>
    </row>
    <row r="6" customFormat="false" ht="15" hidden="false" customHeight="false" outlineLevel="0" collapsed="false">
      <c r="B6" s="31" t="s">
        <v>448</v>
      </c>
      <c r="C6" s="135" t="n">
        <f aca="false">COUNTIFS($B$11:$B$37,B6)-COUNTIFS($B$11:$B$37,B6,$G$11:$G$37,"No aplica")</f>
        <v>8</v>
      </c>
      <c r="D6" s="135" t="n">
        <f aca="false">COUNTIFS($B$11:$B$37,B6,$G$11:$G$37,"Hecho")</f>
        <v>0</v>
      </c>
      <c r="E6" s="108" t="n">
        <f aca="false">IF(C6=0,"",D6/C6)</f>
        <v>0</v>
      </c>
    </row>
    <row r="7" customFormat="false" ht="15" hidden="false" customHeight="false" outlineLevel="0" collapsed="false">
      <c r="B7" s="31" t="s">
        <v>449</v>
      </c>
      <c r="C7" s="135" t="n">
        <f aca="false">COUNTIFS($B$11:$B$37,B7)-COUNTIFS($B$11:$B$37,B7,$G$11:$G$37,"No aplica")</f>
        <v>7</v>
      </c>
      <c r="D7" s="135" t="n">
        <f aca="false">COUNTIFS($B$11:$B$37,B7,$G$11:$G$37,"Hecho")</f>
        <v>0</v>
      </c>
      <c r="E7" s="108" t="n">
        <f aca="false">IF(C7=0,"",D7/C7)</f>
        <v>0</v>
      </c>
    </row>
    <row r="8" customFormat="false" ht="15" hidden="false" customHeight="false" outlineLevel="0" collapsed="false">
      <c r="B8" s="139" t="s">
        <v>450</v>
      </c>
      <c r="C8" s="47" t="n">
        <f aca="false">SUM(C5:C7)</f>
        <v>27</v>
      </c>
      <c r="D8" s="47" t="n">
        <f aca="false">SUM(D5:D7)</f>
        <v>0</v>
      </c>
      <c r="E8" s="140" t="n">
        <f aca="false">IF(C8=0,"",D8/C8)</f>
        <v>0</v>
      </c>
    </row>
    <row r="10" customFormat="false" ht="24" hidden="false" customHeight="true" outlineLevel="0" collapsed="false">
      <c r="A10" s="44" t="s">
        <v>389</v>
      </c>
      <c r="B10" s="44" t="s">
        <v>444</v>
      </c>
      <c r="C10" s="44" t="s">
        <v>451</v>
      </c>
      <c r="D10" s="44" t="s">
        <v>452</v>
      </c>
      <c r="E10" s="44" t="s">
        <v>394</v>
      </c>
      <c r="F10" s="44" t="s">
        <v>395</v>
      </c>
      <c r="G10" s="44" t="s">
        <v>396</v>
      </c>
      <c r="H10" s="44" t="s">
        <v>399</v>
      </c>
    </row>
    <row r="11" customFormat="false" ht="39.75" hidden="false" customHeight="true" outlineLevel="0" collapsed="false">
      <c r="A11" s="122" t="n">
        <v>1</v>
      </c>
      <c r="B11" s="141" t="s">
        <v>447</v>
      </c>
      <c r="C11" s="133" t="s">
        <v>453</v>
      </c>
      <c r="D11" s="55" t="s">
        <v>454</v>
      </c>
      <c r="E11" s="23"/>
      <c r="F11" s="123"/>
      <c r="G11" s="125" t="s">
        <v>72</v>
      </c>
      <c r="H11" s="23"/>
    </row>
    <row r="12" customFormat="false" ht="39.75" hidden="false" customHeight="true" outlineLevel="0" collapsed="false">
      <c r="A12" s="122" t="n">
        <v>2</v>
      </c>
      <c r="B12" s="141" t="s">
        <v>447</v>
      </c>
      <c r="C12" s="133" t="s">
        <v>455</v>
      </c>
      <c r="D12" s="55" t="s">
        <v>456</v>
      </c>
      <c r="E12" s="23"/>
      <c r="F12" s="123"/>
      <c r="G12" s="125" t="s">
        <v>72</v>
      </c>
      <c r="H12" s="23"/>
    </row>
    <row r="13" customFormat="false" ht="39.75" hidden="false" customHeight="true" outlineLevel="0" collapsed="false">
      <c r="A13" s="122" t="n">
        <v>3</v>
      </c>
      <c r="B13" s="141" t="s">
        <v>447</v>
      </c>
      <c r="C13" s="133" t="s">
        <v>457</v>
      </c>
      <c r="D13" s="55" t="s">
        <v>458</v>
      </c>
      <c r="E13" s="23"/>
      <c r="F13" s="123"/>
      <c r="G13" s="125" t="s">
        <v>72</v>
      </c>
      <c r="H13" s="23"/>
    </row>
    <row r="14" customFormat="false" ht="39.75" hidden="false" customHeight="true" outlineLevel="0" collapsed="false">
      <c r="A14" s="122" t="n">
        <v>4</v>
      </c>
      <c r="B14" s="141" t="s">
        <v>447</v>
      </c>
      <c r="C14" s="133" t="s">
        <v>459</v>
      </c>
      <c r="D14" s="55" t="s">
        <v>460</v>
      </c>
      <c r="E14" s="23"/>
      <c r="F14" s="123"/>
      <c r="G14" s="125" t="s">
        <v>72</v>
      </c>
      <c r="H14" s="23"/>
    </row>
    <row r="15" customFormat="false" ht="39.75" hidden="false" customHeight="true" outlineLevel="0" collapsed="false">
      <c r="A15" s="122" t="n">
        <v>5</v>
      </c>
      <c r="B15" s="141" t="s">
        <v>447</v>
      </c>
      <c r="C15" s="133" t="s">
        <v>461</v>
      </c>
      <c r="D15" s="55" t="s">
        <v>462</v>
      </c>
      <c r="E15" s="23"/>
      <c r="F15" s="123"/>
      <c r="G15" s="125" t="s">
        <v>72</v>
      </c>
      <c r="H15" s="23"/>
    </row>
    <row r="16" customFormat="false" ht="39.75" hidden="false" customHeight="true" outlineLevel="0" collapsed="false">
      <c r="A16" s="122" t="n">
        <v>6</v>
      </c>
      <c r="B16" s="141" t="s">
        <v>447</v>
      </c>
      <c r="C16" s="133" t="s">
        <v>463</v>
      </c>
      <c r="D16" s="55" t="s">
        <v>464</v>
      </c>
      <c r="E16" s="23"/>
      <c r="F16" s="123"/>
      <c r="G16" s="125" t="s">
        <v>72</v>
      </c>
      <c r="H16" s="23"/>
    </row>
    <row r="17" customFormat="false" ht="39.75" hidden="false" customHeight="true" outlineLevel="0" collapsed="false">
      <c r="A17" s="122" t="n">
        <v>7</v>
      </c>
      <c r="B17" s="141" t="s">
        <v>447</v>
      </c>
      <c r="C17" s="133" t="s">
        <v>465</v>
      </c>
      <c r="D17" s="55" t="s">
        <v>466</v>
      </c>
      <c r="E17" s="23"/>
      <c r="F17" s="123"/>
      <c r="G17" s="125" t="s">
        <v>72</v>
      </c>
      <c r="H17" s="23"/>
    </row>
    <row r="18" customFormat="false" ht="39.75" hidden="false" customHeight="true" outlineLevel="0" collapsed="false">
      <c r="A18" s="122" t="n">
        <v>8</v>
      </c>
      <c r="B18" s="141" t="s">
        <v>447</v>
      </c>
      <c r="C18" s="133" t="s">
        <v>467</v>
      </c>
      <c r="D18" s="55" t="s">
        <v>468</v>
      </c>
      <c r="E18" s="23"/>
      <c r="F18" s="123"/>
      <c r="G18" s="125" t="s">
        <v>72</v>
      </c>
      <c r="H18" s="23"/>
    </row>
    <row r="19" customFormat="false" ht="39.75" hidden="false" customHeight="true" outlineLevel="0" collapsed="false">
      <c r="A19" s="122" t="n">
        <v>9</v>
      </c>
      <c r="B19" s="141" t="s">
        <v>447</v>
      </c>
      <c r="C19" s="133" t="s">
        <v>469</v>
      </c>
      <c r="D19" s="55" t="s">
        <v>470</v>
      </c>
      <c r="E19" s="23"/>
      <c r="F19" s="123"/>
      <c r="G19" s="125" t="s">
        <v>72</v>
      </c>
      <c r="H19" s="23"/>
    </row>
    <row r="20" customFormat="false" ht="39.75" hidden="false" customHeight="true" outlineLevel="0" collapsed="false">
      <c r="A20" s="122" t="n">
        <v>10</v>
      </c>
      <c r="B20" s="141" t="s">
        <v>447</v>
      </c>
      <c r="C20" s="133" t="s">
        <v>471</v>
      </c>
      <c r="D20" s="55" t="s">
        <v>472</v>
      </c>
      <c r="E20" s="23"/>
      <c r="F20" s="123"/>
      <c r="G20" s="125" t="s">
        <v>72</v>
      </c>
      <c r="H20" s="23"/>
    </row>
    <row r="21" customFormat="false" ht="39.75" hidden="false" customHeight="true" outlineLevel="0" collapsed="false">
      <c r="A21" s="122" t="n">
        <v>11</v>
      </c>
      <c r="B21" s="141" t="s">
        <v>447</v>
      </c>
      <c r="C21" s="133" t="s">
        <v>473</v>
      </c>
      <c r="D21" s="55" t="s">
        <v>474</v>
      </c>
      <c r="E21" s="23"/>
      <c r="F21" s="123"/>
      <c r="G21" s="125" t="s">
        <v>72</v>
      </c>
      <c r="H21" s="23"/>
    </row>
    <row r="22" customFormat="false" ht="39.75" hidden="false" customHeight="true" outlineLevel="0" collapsed="false">
      <c r="A22" s="122" t="n">
        <v>12</v>
      </c>
      <c r="B22" s="141" t="s">
        <v>447</v>
      </c>
      <c r="C22" s="133" t="s">
        <v>475</v>
      </c>
      <c r="D22" s="55" t="s">
        <v>476</v>
      </c>
      <c r="E22" s="23"/>
      <c r="F22" s="123"/>
      <c r="G22" s="125" t="s">
        <v>72</v>
      </c>
      <c r="H22" s="23"/>
    </row>
    <row r="23" customFormat="false" ht="39.75" hidden="false" customHeight="true" outlineLevel="0" collapsed="false">
      <c r="A23" s="122" t="n">
        <v>13</v>
      </c>
      <c r="B23" s="142" t="s">
        <v>448</v>
      </c>
      <c r="C23" s="133" t="s">
        <v>477</v>
      </c>
      <c r="D23" s="55" t="s">
        <v>478</v>
      </c>
      <c r="E23" s="23"/>
      <c r="F23" s="123"/>
      <c r="G23" s="125" t="s">
        <v>72</v>
      </c>
      <c r="H23" s="23"/>
    </row>
    <row r="24" customFormat="false" ht="39.75" hidden="false" customHeight="true" outlineLevel="0" collapsed="false">
      <c r="A24" s="122" t="n">
        <v>14</v>
      </c>
      <c r="B24" s="142" t="s">
        <v>448</v>
      </c>
      <c r="C24" s="133" t="s">
        <v>479</v>
      </c>
      <c r="D24" s="55" t="s">
        <v>480</v>
      </c>
      <c r="E24" s="23"/>
      <c r="F24" s="123"/>
      <c r="G24" s="125" t="s">
        <v>72</v>
      </c>
      <c r="H24" s="23"/>
    </row>
    <row r="25" customFormat="false" ht="39.75" hidden="false" customHeight="true" outlineLevel="0" collapsed="false">
      <c r="A25" s="122" t="n">
        <v>15</v>
      </c>
      <c r="B25" s="142" t="s">
        <v>448</v>
      </c>
      <c r="C25" s="133" t="s">
        <v>481</v>
      </c>
      <c r="D25" s="55" t="s">
        <v>482</v>
      </c>
      <c r="E25" s="23"/>
      <c r="F25" s="123"/>
      <c r="G25" s="125" t="s">
        <v>72</v>
      </c>
      <c r="H25" s="23"/>
    </row>
    <row r="26" customFormat="false" ht="39.75" hidden="false" customHeight="true" outlineLevel="0" collapsed="false">
      <c r="A26" s="122" t="n">
        <v>16</v>
      </c>
      <c r="B26" s="142" t="s">
        <v>448</v>
      </c>
      <c r="C26" s="133" t="s">
        <v>483</v>
      </c>
      <c r="D26" s="55" t="s">
        <v>484</v>
      </c>
      <c r="E26" s="23"/>
      <c r="F26" s="123"/>
      <c r="G26" s="125" t="s">
        <v>72</v>
      </c>
      <c r="H26" s="23"/>
    </row>
    <row r="27" customFormat="false" ht="39.75" hidden="false" customHeight="true" outlineLevel="0" collapsed="false">
      <c r="A27" s="122" t="n">
        <v>17</v>
      </c>
      <c r="B27" s="142" t="s">
        <v>448</v>
      </c>
      <c r="C27" s="133" t="s">
        <v>485</v>
      </c>
      <c r="D27" s="55" t="s">
        <v>486</v>
      </c>
      <c r="E27" s="23"/>
      <c r="F27" s="123"/>
      <c r="G27" s="125" t="s">
        <v>72</v>
      </c>
      <c r="H27" s="23"/>
    </row>
    <row r="28" customFormat="false" ht="39.75" hidden="false" customHeight="true" outlineLevel="0" collapsed="false">
      <c r="A28" s="122" t="n">
        <v>18</v>
      </c>
      <c r="B28" s="142" t="s">
        <v>448</v>
      </c>
      <c r="C28" s="133" t="s">
        <v>487</v>
      </c>
      <c r="D28" s="55" t="s">
        <v>488</v>
      </c>
      <c r="E28" s="23"/>
      <c r="F28" s="123"/>
      <c r="G28" s="125" t="s">
        <v>72</v>
      </c>
      <c r="H28" s="23"/>
    </row>
    <row r="29" customFormat="false" ht="39.75" hidden="false" customHeight="true" outlineLevel="0" collapsed="false">
      <c r="A29" s="122" t="n">
        <v>19</v>
      </c>
      <c r="B29" s="142" t="s">
        <v>448</v>
      </c>
      <c r="C29" s="133" t="s">
        <v>489</v>
      </c>
      <c r="D29" s="55" t="s">
        <v>490</v>
      </c>
      <c r="E29" s="23"/>
      <c r="F29" s="123"/>
      <c r="G29" s="125" t="s">
        <v>72</v>
      </c>
      <c r="H29" s="23"/>
    </row>
    <row r="30" customFormat="false" ht="39.75" hidden="false" customHeight="true" outlineLevel="0" collapsed="false">
      <c r="A30" s="122" t="n">
        <v>20</v>
      </c>
      <c r="B30" s="142" t="s">
        <v>448</v>
      </c>
      <c r="C30" s="133" t="s">
        <v>491</v>
      </c>
      <c r="D30" s="55" t="s">
        <v>492</v>
      </c>
      <c r="E30" s="23"/>
      <c r="F30" s="123"/>
      <c r="G30" s="125" t="s">
        <v>72</v>
      </c>
      <c r="H30" s="23"/>
    </row>
    <row r="31" customFormat="false" ht="39.75" hidden="false" customHeight="true" outlineLevel="0" collapsed="false">
      <c r="A31" s="122" t="n">
        <v>21</v>
      </c>
      <c r="B31" s="143" t="s">
        <v>449</v>
      </c>
      <c r="C31" s="133" t="s">
        <v>493</v>
      </c>
      <c r="D31" s="55" t="s">
        <v>494</v>
      </c>
      <c r="E31" s="23"/>
      <c r="F31" s="123"/>
      <c r="G31" s="125" t="s">
        <v>72</v>
      </c>
      <c r="H31" s="23"/>
    </row>
    <row r="32" customFormat="false" ht="39.75" hidden="false" customHeight="true" outlineLevel="0" collapsed="false">
      <c r="A32" s="122" t="n">
        <v>22</v>
      </c>
      <c r="B32" s="143" t="s">
        <v>449</v>
      </c>
      <c r="C32" s="133" t="s">
        <v>495</v>
      </c>
      <c r="D32" s="55" t="s">
        <v>496</v>
      </c>
      <c r="E32" s="23"/>
      <c r="F32" s="123"/>
      <c r="G32" s="125" t="s">
        <v>72</v>
      </c>
      <c r="H32" s="23"/>
    </row>
    <row r="33" customFormat="false" ht="39.75" hidden="false" customHeight="true" outlineLevel="0" collapsed="false">
      <c r="A33" s="122" t="n">
        <v>23</v>
      </c>
      <c r="B33" s="143" t="s">
        <v>449</v>
      </c>
      <c r="C33" s="133" t="s">
        <v>497</v>
      </c>
      <c r="D33" s="55" t="s">
        <v>498</v>
      </c>
      <c r="E33" s="23"/>
      <c r="F33" s="123"/>
      <c r="G33" s="125" t="s">
        <v>72</v>
      </c>
      <c r="H33" s="23"/>
    </row>
    <row r="34" customFormat="false" ht="39.75" hidden="false" customHeight="true" outlineLevel="0" collapsed="false">
      <c r="A34" s="122" t="n">
        <v>24</v>
      </c>
      <c r="B34" s="143" t="s">
        <v>449</v>
      </c>
      <c r="C34" s="133" t="s">
        <v>499</v>
      </c>
      <c r="D34" s="55" t="s">
        <v>500</v>
      </c>
      <c r="E34" s="23"/>
      <c r="F34" s="123"/>
      <c r="G34" s="125" t="s">
        <v>72</v>
      </c>
      <c r="H34" s="23"/>
    </row>
    <row r="35" customFormat="false" ht="39.75" hidden="false" customHeight="true" outlineLevel="0" collapsed="false">
      <c r="A35" s="122" t="n">
        <v>25</v>
      </c>
      <c r="B35" s="143" t="s">
        <v>449</v>
      </c>
      <c r="C35" s="133" t="s">
        <v>501</v>
      </c>
      <c r="D35" s="55" t="s">
        <v>502</v>
      </c>
      <c r="E35" s="23"/>
      <c r="F35" s="123"/>
      <c r="G35" s="125" t="s">
        <v>72</v>
      </c>
      <c r="H35" s="23"/>
    </row>
    <row r="36" customFormat="false" ht="39.75" hidden="false" customHeight="true" outlineLevel="0" collapsed="false">
      <c r="A36" s="122" t="n">
        <v>26</v>
      </c>
      <c r="B36" s="143" t="s">
        <v>449</v>
      </c>
      <c r="C36" s="133" t="s">
        <v>503</v>
      </c>
      <c r="D36" s="55" t="s">
        <v>504</v>
      </c>
      <c r="E36" s="23"/>
      <c r="F36" s="123"/>
      <c r="G36" s="125" t="s">
        <v>72</v>
      </c>
      <c r="H36" s="23"/>
    </row>
    <row r="37" customFormat="false" ht="39.75" hidden="false" customHeight="true" outlineLevel="0" collapsed="false">
      <c r="A37" s="122" t="n">
        <v>27</v>
      </c>
      <c r="B37" s="143" t="s">
        <v>449</v>
      </c>
      <c r="C37" s="133" t="s">
        <v>505</v>
      </c>
      <c r="D37" s="55" t="s">
        <v>506</v>
      </c>
      <c r="E37" s="23"/>
      <c r="F37" s="123"/>
      <c r="G37" s="125" t="s">
        <v>72</v>
      </c>
      <c r="H37" s="23"/>
    </row>
  </sheetData>
  <mergeCells count="2">
    <mergeCell ref="A1:H1"/>
    <mergeCell ref="A2:H2"/>
  </mergeCells>
  <conditionalFormatting sqref="E5:E8">
    <cfRule type="dataBar" priority="2">
      <dataBar showValue="1" minLength="10" maxLength="90">
        <cfvo type="num" val="0"/>
        <cfvo type="num" val="1"/>
        <color rgb="FF6BB58E"/>
      </dataBar>
      <extLst>
        <ext xmlns:x14="http://schemas.microsoft.com/office/spreadsheetml/2009/9/main" uri="{B025F937-C7B1-47D3-B67F-A62EFF666E3E}">
          <x14:id>{A7D94E19-F0E0-45B4-A5BB-6AE89F95801A}</x14:id>
        </ext>
      </extLst>
    </cfRule>
  </conditionalFormatting>
  <conditionalFormatting sqref="G11:G37">
    <cfRule type="expression" priority="3" aboveAverage="0" equalAverage="0" bottom="0" percent="0" rank="0" text="" dxfId="4">
      <formula>$G11="Hecho"</formula>
    </cfRule>
    <cfRule type="expression" priority="4" aboveAverage="0" equalAverage="0" bottom="0" percent="0" rank="0" text="" dxfId="2">
      <formula>$G11="En curso"</formula>
    </cfRule>
  </conditionalFormatting>
  <conditionalFormatting sqref="F11:F37">
    <cfRule type="expression" priority="5" aboveAverage="0" equalAverage="0" bottom="0" percent="0" rank="0" text="" dxfId="17">
      <formula>AND(ISNUMBER($F11),$F11&lt;TODAY(),$G11&lt;&gt;"Hecho",$G11&lt;&gt;"No aplica")</formula>
    </cfRule>
  </conditionalFormatting>
  <dataValidations count="2">
    <dataValidation allowBlank="true" error="Elija un valor de la lista." errorStyle="stop" errorTitle="Valor fuera de la lista" operator="between" showDropDown="false" showErrorMessage="true" showInputMessage="false" sqref="G11:G37" type="list">
      <formula1>Lista_zadanie</formula1>
      <formula2>0</formula2>
    </dataValidation>
    <dataValidation allowBlank="true" errorStyle="stop" operator="between" showDropDown="false" showErrorMessage="false" showInputMessage="false" sqref="E11:E37" type="list">
      <formula1>Lista_audytorow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D94E19-F0E0-45B4-A5BB-6AE89F95801A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6BB58E"/>
              <x14:axisColor rgb="FF000000"/>
            </x14:dataBar>
          </x14:cfRule>
          <xm:sqref>E5:E8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ED8"/>
    <pageSetUpPr fitToPage="false"/>
  </sheetPr>
  <dimension ref="A1:H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1" min="2" style="0" width="13"/>
  </cols>
  <sheetData>
    <row r="1" customFormat="false" ht="15" hidden="false" customHeight="false" outlineLevel="0" collapsed="false">
      <c r="A1" s="144" t="s">
        <v>507</v>
      </c>
    </row>
    <row r="2" customFormat="false" ht="15" hidden="false" customHeight="false" outlineLevel="0" collapsed="false">
      <c r="A2" s="4" t="s">
        <v>508</v>
      </c>
      <c r="B2" s="0" t="str">
        <f aca="false">Dashboard!$B$4</f>
        <v>Línea de producción 1</v>
      </c>
    </row>
    <row r="3" customFormat="false" ht="15" hidden="false" customHeight="false" outlineLevel="0" collapsed="false">
      <c r="A3" s="4" t="s">
        <v>509</v>
      </c>
      <c r="B3" s="145" t="n">
        <f aca="false">COUNTIFS(Puntuaciones!$C$5:$BJ$5,B2,Puntuaciones!$C$62:$BJ$62,1)</f>
        <v>0</v>
      </c>
    </row>
    <row r="4" customFormat="false" ht="15" hidden="false" customHeight="false" outlineLevel="0" collapsed="false">
      <c r="A4" s="4" t="s">
        <v>510</v>
      </c>
      <c r="B4" s="0" t="str">
        <f aca="false">IF(B3=0,"",MATCH(B2&amp;"|"&amp;B3,Puntuaciones!$C$63:$BJ$63,0))</f>
        <v/>
      </c>
    </row>
    <row r="5" customFormat="false" ht="15" hidden="false" customHeight="false" outlineLevel="0" collapsed="false">
      <c r="A5" s="4" t="s">
        <v>511</v>
      </c>
      <c r="B5" s="0" t="str">
        <f aca="false">IF(B3&lt;2,"",MATCH(B2&amp;"|"&amp;(B3-1),Puntuaciones!$C$63:$BJ$63,0))</f>
        <v/>
      </c>
    </row>
    <row r="6" customFormat="false" ht="15" hidden="false" customHeight="false" outlineLevel="0" collapsed="false">
      <c r="A6" s="4" t="s">
        <v>512</v>
      </c>
      <c r="B6" s="145" t="n">
        <f aca="false">MAX(1,B3-11)</f>
        <v>1</v>
      </c>
    </row>
    <row r="7" customFormat="false" ht="15" hidden="false" customHeight="false" outlineLevel="0" collapsed="false">
      <c r="A7" s="4" t="s">
        <v>513</v>
      </c>
      <c r="B7" s="0" t="str">
        <f aca="false">IF(B3=0,"",MATCH(B2&amp;"|1",Puntuaciones!$C$63:$BJ$63,0))</f>
        <v/>
      </c>
    </row>
    <row r="9" customFormat="false" ht="23.85" hidden="false" customHeight="false" outlineLevel="0" collapsed="false">
      <c r="A9" s="26" t="s">
        <v>514</v>
      </c>
      <c r="B9" s="26" t="s">
        <v>515</v>
      </c>
      <c r="C9" s="26" t="s">
        <v>516</v>
      </c>
      <c r="D9" s="26" t="s">
        <v>517</v>
      </c>
      <c r="E9" s="26" t="s">
        <v>518</v>
      </c>
      <c r="F9" s="26" t="s">
        <v>519</v>
      </c>
      <c r="H9" s="28" t="s">
        <v>520</v>
      </c>
    </row>
    <row r="10" customFormat="false" ht="15" hidden="false" customHeight="false" outlineLevel="0" collapsed="false">
      <c r="A10" s="0" t="n">
        <v>1</v>
      </c>
      <c r="B10" s="0" t="str">
        <f aca="false">IF($B$6+A10-1&lt;=$B$3,$B$6+A10-1,"")</f>
        <v/>
      </c>
      <c r="C10" s="0" t="str">
        <f aca="false">IF(B10="","",MATCH($B$2&amp;"|"&amp;B10,Puntuaciones!$C$63:$BJ$63,0))</f>
        <v/>
      </c>
      <c r="D10" s="0" t="str">
        <f aca="false">IF(C10="","",IF(ISNUMBER(INDEX(Puntuaciones!$C$4:$BJ$4,C10)),TEXT(DAY(INDEX(Puntuaciones!$C$4:$BJ$4,C10)),"00")&amp;"."&amp;TEXT(MONTH(INDEX(Puntuaciones!$C$4:$BJ$4,C10)),"00")&amp;"."&amp;RIGHT(YEAR(INDEX(Puntuaciones!$C$4:$BJ$4,C10)),2),"#"&amp;INDEX(Puntuaciones!$C$3:$BJ$3,C10)))</f>
        <v/>
      </c>
      <c r="E10" s="146" t="e">
        <f aca="false">IF(C10="",NA(),INDEX(Puntuaciones!$C$60:$BJ$60,C10))</f>
        <v>#N/A</v>
      </c>
      <c r="F10" s="146" t="n">
        <f aca="false">Objetivo</f>
        <v>0.8</v>
      </c>
    </row>
    <row r="11" customFormat="false" ht="15" hidden="false" customHeight="false" outlineLevel="0" collapsed="false">
      <c r="A11" s="0" t="n">
        <v>2</v>
      </c>
      <c r="B11" s="0" t="str">
        <f aca="false">IF($B$6+A11-1&lt;=$B$3,$B$6+A11-1,"")</f>
        <v/>
      </c>
      <c r="C11" s="0" t="str">
        <f aca="false">IF(B11="","",MATCH($B$2&amp;"|"&amp;B11,Puntuaciones!$C$63:$BJ$63,0))</f>
        <v/>
      </c>
      <c r="D11" s="0" t="str">
        <f aca="false">IF(C11="","",IF(ISNUMBER(INDEX(Puntuaciones!$C$4:$BJ$4,C11)),TEXT(DAY(INDEX(Puntuaciones!$C$4:$BJ$4,C11)),"00")&amp;"."&amp;TEXT(MONTH(INDEX(Puntuaciones!$C$4:$BJ$4,C11)),"00")&amp;"."&amp;RIGHT(YEAR(INDEX(Puntuaciones!$C$4:$BJ$4,C11)),2),"#"&amp;INDEX(Puntuaciones!$C$3:$BJ$3,C11)))</f>
        <v/>
      </c>
      <c r="E11" s="146" t="e">
        <f aca="false">IF(C11="",NA(),INDEX(Puntuaciones!$C$60:$BJ$60,C11))</f>
        <v>#N/A</v>
      </c>
      <c r="F11" s="146" t="n">
        <f aca="false">Objetivo</f>
        <v>0.8</v>
      </c>
    </row>
    <row r="12" customFormat="false" ht="15" hidden="false" customHeight="false" outlineLevel="0" collapsed="false">
      <c r="A12" s="0" t="n">
        <v>3</v>
      </c>
      <c r="B12" s="0" t="str">
        <f aca="false">IF($B$6+A12-1&lt;=$B$3,$B$6+A12-1,"")</f>
        <v/>
      </c>
      <c r="C12" s="0" t="str">
        <f aca="false">IF(B12="","",MATCH($B$2&amp;"|"&amp;B12,Puntuaciones!$C$63:$BJ$63,0))</f>
        <v/>
      </c>
      <c r="D12" s="0" t="str">
        <f aca="false">IF(C12="","",IF(ISNUMBER(INDEX(Puntuaciones!$C$4:$BJ$4,C12)),TEXT(DAY(INDEX(Puntuaciones!$C$4:$BJ$4,C12)),"00")&amp;"."&amp;TEXT(MONTH(INDEX(Puntuaciones!$C$4:$BJ$4,C12)),"00")&amp;"."&amp;RIGHT(YEAR(INDEX(Puntuaciones!$C$4:$BJ$4,C12)),2),"#"&amp;INDEX(Puntuaciones!$C$3:$BJ$3,C12)))</f>
        <v/>
      </c>
      <c r="E12" s="146" t="e">
        <f aca="false">IF(C12="",NA(),INDEX(Puntuaciones!$C$60:$BJ$60,C12))</f>
        <v>#N/A</v>
      </c>
      <c r="F12" s="146" t="n">
        <f aca="false">Objetivo</f>
        <v>0.8</v>
      </c>
    </row>
    <row r="13" customFormat="false" ht="15" hidden="false" customHeight="false" outlineLevel="0" collapsed="false">
      <c r="A13" s="0" t="n">
        <v>4</v>
      </c>
      <c r="B13" s="0" t="str">
        <f aca="false">IF($B$6+A13-1&lt;=$B$3,$B$6+A13-1,"")</f>
        <v/>
      </c>
      <c r="C13" s="0" t="str">
        <f aca="false">IF(B13="","",MATCH($B$2&amp;"|"&amp;B13,Puntuaciones!$C$63:$BJ$63,0))</f>
        <v/>
      </c>
      <c r="D13" s="0" t="str">
        <f aca="false">IF(C13="","",IF(ISNUMBER(INDEX(Puntuaciones!$C$4:$BJ$4,C13)),TEXT(DAY(INDEX(Puntuaciones!$C$4:$BJ$4,C13)),"00")&amp;"."&amp;TEXT(MONTH(INDEX(Puntuaciones!$C$4:$BJ$4,C13)),"00")&amp;"."&amp;RIGHT(YEAR(INDEX(Puntuaciones!$C$4:$BJ$4,C13)),2),"#"&amp;INDEX(Puntuaciones!$C$3:$BJ$3,C13)))</f>
        <v/>
      </c>
      <c r="E13" s="146" t="e">
        <f aca="false">IF(C13="",NA(),INDEX(Puntuaciones!$C$60:$BJ$60,C13))</f>
        <v>#N/A</v>
      </c>
      <c r="F13" s="146" t="n">
        <f aca="false">Objetivo</f>
        <v>0.8</v>
      </c>
    </row>
    <row r="14" customFormat="false" ht="15" hidden="false" customHeight="false" outlineLevel="0" collapsed="false">
      <c r="A14" s="0" t="n">
        <v>5</v>
      </c>
      <c r="B14" s="0" t="str">
        <f aca="false">IF($B$6+A14-1&lt;=$B$3,$B$6+A14-1,"")</f>
        <v/>
      </c>
      <c r="C14" s="0" t="str">
        <f aca="false">IF(B14="","",MATCH($B$2&amp;"|"&amp;B14,Puntuaciones!$C$63:$BJ$63,0))</f>
        <v/>
      </c>
      <c r="D14" s="0" t="str">
        <f aca="false">IF(C14="","",IF(ISNUMBER(INDEX(Puntuaciones!$C$4:$BJ$4,C14)),TEXT(DAY(INDEX(Puntuaciones!$C$4:$BJ$4,C14)),"00")&amp;"."&amp;TEXT(MONTH(INDEX(Puntuaciones!$C$4:$BJ$4,C14)),"00")&amp;"."&amp;RIGHT(YEAR(INDEX(Puntuaciones!$C$4:$BJ$4,C14)),2),"#"&amp;INDEX(Puntuaciones!$C$3:$BJ$3,C14)))</f>
        <v/>
      </c>
      <c r="E14" s="146" t="e">
        <f aca="false">IF(C14="",NA(),INDEX(Puntuaciones!$C$60:$BJ$60,C14))</f>
        <v>#N/A</v>
      </c>
      <c r="F14" s="146" t="n">
        <f aca="false">Objetivo</f>
        <v>0.8</v>
      </c>
    </row>
    <row r="15" customFormat="false" ht="15" hidden="false" customHeight="false" outlineLevel="0" collapsed="false">
      <c r="A15" s="0" t="n">
        <v>6</v>
      </c>
      <c r="B15" s="0" t="str">
        <f aca="false">IF($B$6+A15-1&lt;=$B$3,$B$6+A15-1,"")</f>
        <v/>
      </c>
      <c r="C15" s="0" t="str">
        <f aca="false">IF(B15="","",MATCH($B$2&amp;"|"&amp;B15,Puntuaciones!$C$63:$BJ$63,0))</f>
        <v/>
      </c>
      <c r="D15" s="0" t="str">
        <f aca="false">IF(C15="","",IF(ISNUMBER(INDEX(Puntuaciones!$C$4:$BJ$4,C15)),TEXT(DAY(INDEX(Puntuaciones!$C$4:$BJ$4,C15)),"00")&amp;"."&amp;TEXT(MONTH(INDEX(Puntuaciones!$C$4:$BJ$4,C15)),"00")&amp;"."&amp;RIGHT(YEAR(INDEX(Puntuaciones!$C$4:$BJ$4,C15)),2),"#"&amp;INDEX(Puntuaciones!$C$3:$BJ$3,C15)))</f>
        <v/>
      </c>
      <c r="E15" s="146" t="e">
        <f aca="false">IF(C15="",NA(),INDEX(Puntuaciones!$C$60:$BJ$60,C15))</f>
        <v>#N/A</v>
      </c>
      <c r="F15" s="146" t="n">
        <f aca="false">Objetivo</f>
        <v>0.8</v>
      </c>
    </row>
    <row r="16" customFormat="false" ht="15" hidden="false" customHeight="false" outlineLevel="0" collapsed="false">
      <c r="A16" s="0" t="n">
        <v>7</v>
      </c>
      <c r="B16" s="0" t="str">
        <f aca="false">IF($B$6+A16-1&lt;=$B$3,$B$6+A16-1,"")</f>
        <v/>
      </c>
      <c r="C16" s="0" t="str">
        <f aca="false">IF(B16="","",MATCH($B$2&amp;"|"&amp;B16,Puntuaciones!$C$63:$BJ$63,0))</f>
        <v/>
      </c>
      <c r="D16" s="0" t="str">
        <f aca="false">IF(C16="","",IF(ISNUMBER(INDEX(Puntuaciones!$C$4:$BJ$4,C16)),TEXT(DAY(INDEX(Puntuaciones!$C$4:$BJ$4,C16)),"00")&amp;"."&amp;TEXT(MONTH(INDEX(Puntuaciones!$C$4:$BJ$4,C16)),"00")&amp;"."&amp;RIGHT(YEAR(INDEX(Puntuaciones!$C$4:$BJ$4,C16)),2),"#"&amp;INDEX(Puntuaciones!$C$3:$BJ$3,C16)))</f>
        <v/>
      </c>
      <c r="E16" s="146" t="e">
        <f aca="false">IF(C16="",NA(),INDEX(Puntuaciones!$C$60:$BJ$60,C16))</f>
        <v>#N/A</v>
      </c>
      <c r="F16" s="146" t="n">
        <f aca="false">Objetivo</f>
        <v>0.8</v>
      </c>
    </row>
    <row r="17" customFormat="false" ht="15" hidden="false" customHeight="false" outlineLevel="0" collapsed="false">
      <c r="A17" s="0" t="n">
        <v>8</v>
      </c>
      <c r="B17" s="0" t="str">
        <f aca="false">IF($B$6+A17-1&lt;=$B$3,$B$6+A17-1,"")</f>
        <v/>
      </c>
      <c r="C17" s="0" t="str">
        <f aca="false">IF(B17="","",MATCH($B$2&amp;"|"&amp;B17,Puntuaciones!$C$63:$BJ$63,0))</f>
        <v/>
      </c>
      <c r="D17" s="0" t="str">
        <f aca="false">IF(C17="","",IF(ISNUMBER(INDEX(Puntuaciones!$C$4:$BJ$4,C17)),TEXT(DAY(INDEX(Puntuaciones!$C$4:$BJ$4,C17)),"00")&amp;"."&amp;TEXT(MONTH(INDEX(Puntuaciones!$C$4:$BJ$4,C17)),"00")&amp;"."&amp;RIGHT(YEAR(INDEX(Puntuaciones!$C$4:$BJ$4,C17)),2),"#"&amp;INDEX(Puntuaciones!$C$3:$BJ$3,C17)))</f>
        <v/>
      </c>
      <c r="E17" s="146" t="e">
        <f aca="false">IF(C17="",NA(),INDEX(Puntuaciones!$C$60:$BJ$60,C17))</f>
        <v>#N/A</v>
      </c>
      <c r="F17" s="146" t="n">
        <f aca="false">Objetivo</f>
        <v>0.8</v>
      </c>
    </row>
    <row r="18" customFormat="false" ht="15" hidden="false" customHeight="false" outlineLevel="0" collapsed="false">
      <c r="A18" s="0" t="n">
        <v>9</v>
      </c>
      <c r="B18" s="0" t="str">
        <f aca="false">IF($B$6+A18-1&lt;=$B$3,$B$6+A18-1,"")</f>
        <v/>
      </c>
      <c r="C18" s="0" t="str">
        <f aca="false">IF(B18="","",MATCH($B$2&amp;"|"&amp;B18,Puntuaciones!$C$63:$BJ$63,0))</f>
        <v/>
      </c>
      <c r="D18" s="0" t="str">
        <f aca="false">IF(C18="","",IF(ISNUMBER(INDEX(Puntuaciones!$C$4:$BJ$4,C18)),TEXT(DAY(INDEX(Puntuaciones!$C$4:$BJ$4,C18)),"00")&amp;"."&amp;TEXT(MONTH(INDEX(Puntuaciones!$C$4:$BJ$4,C18)),"00")&amp;"."&amp;RIGHT(YEAR(INDEX(Puntuaciones!$C$4:$BJ$4,C18)),2),"#"&amp;INDEX(Puntuaciones!$C$3:$BJ$3,C18)))</f>
        <v/>
      </c>
      <c r="E18" s="146" t="e">
        <f aca="false">IF(C18="",NA(),INDEX(Puntuaciones!$C$60:$BJ$60,C18))</f>
        <v>#N/A</v>
      </c>
      <c r="F18" s="146" t="n">
        <f aca="false">Objetivo</f>
        <v>0.8</v>
      </c>
    </row>
    <row r="19" customFormat="false" ht="15" hidden="false" customHeight="false" outlineLevel="0" collapsed="false">
      <c r="A19" s="0" t="n">
        <v>10</v>
      </c>
      <c r="B19" s="0" t="str">
        <f aca="false">IF($B$6+A19-1&lt;=$B$3,$B$6+A19-1,"")</f>
        <v/>
      </c>
      <c r="C19" s="0" t="str">
        <f aca="false">IF(B19="","",MATCH($B$2&amp;"|"&amp;B19,Puntuaciones!$C$63:$BJ$63,0))</f>
        <v/>
      </c>
      <c r="D19" s="0" t="str">
        <f aca="false">IF(C19="","",IF(ISNUMBER(INDEX(Puntuaciones!$C$4:$BJ$4,C19)),TEXT(DAY(INDEX(Puntuaciones!$C$4:$BJ$4,C19)),"00")&amp;"."&amp;TEXT(MONTH(INDEX(Puntuaciones!$C$4:$BJ$4,C19)),"00")&amp;"."&amp;RIGHT(YEAR(INDEX(Puntuaciones!$C$4:$BJ$4,C19)),2),"#"&amp;INDEX(Puntuaciones!$C$3:$BJ$3,C19)))</f>
        <v/>
      </c>
      <c r="E19" s="146" t="e">
        <f aca="false">IF(C19="",NA(),INDEX(Puntuaciones!$C$60:$BJ$60,C19))</f>
        <v>#N/A</v>
      </c>
      <c r="F19" s="146" t="n">
        <f aca="false">Objetivo</f>
        <v>0.8</v>
      </c>
    </row>
    <row r="20" customFormat="false" ht="15" hidden="false" customHeight="false" outlineLevel="0" collapsed="false">
      <c r="A20" s="0" t="n">
        <v>11</v>
      </c>
      <c r="B20" s="0" t="str">
        <f aca="false">IF($B$6+A20-1&lt;=$B$3,$B$6+A20-1,"")</f>
        <v/>
      </c>
      <c r="C20" s="0" t="str">
        <f aca="false">IF(B20="","",MATCH($B$2&amp;"|"&amp;B20,Puntuaciones!$C$63:$BJ$63,0))</f>
        <v/>
      </c>
      <c r="D20" s="0" t="str">
        <f aca="false">IF(C20="","",IF(ISNUMBER(INDEX(Puntuaciones!$C$4:$BJ$4,C20)),TEXT(DAY(INDEX(Puntuaciones!$C$4:$BJ$4,C20)),"00")&amp;"."&amp;TEXT(MONTH(INDEX(Puntuaciones!$C$4:$BJ$4,C20)),"00")&amp;"."&amp;RIGHT(YEAR(INDEX(Puntuaciones!$C$4:$BJ$4,C20)),2),"#"&amp;INDEX(Puntuaciones!$C$3:$BJ$3,C20)))</f>
        <v/>
      </c>
      <c r="E20" s="146" t="e">
        <f aca="false">IF(C20="",NA(),INDEX(Puntuaciones!$C$60:$BJ$60,C20))</f>
        <v>#N/A</v>
      </c>
      <c r="F20" s="146" t="n">
        <f aca="false">Objetivo</f>
        <v>0.8</v>
      </c>
    </row>
    <row r="21" customFormat="false" ht="15" hidden="false" customHeight="false" outlineLevel="0" collapsed="false">
      <c r="A21" s="0" t="n">
        <v>12</v>
      </c>
      <c r="B21" s="0" t="str">
        <f aca="false">IF($B$6+A21-1&lt;=$B$3,$B$6+A21-1,"")</f>
        <v/>
      </c>
      <c r="C21" s="0" t="str">
        <f aca="false">IF(B21="","",MATCH($B$2&amp;"|"&amp;B21,Puntuaciones!$C$63:$BJ$63,0))</f>
        <v/>
      </c>
      <c r="D21" s="0" t="str">
        <f aca="false">IF(C21="","",IF(ISNUMBER(INDEX(Puntuaciones!$C$4:$BJ$4,C21)),TEXT(DAY(INDEX(Puntuaciones!$C$4:$BJ$4,C21)),"00")&amp;"."&amp;TEXT(MONTH(INDEX(Puntuaciones!$C$4:$BJ$4,C21)),"00")&amp;"."&amp;RIGHT(YEAR(INDEX(Puntuaciones!$C$4:$BJ$4,C21)),2),"#"&amp;INDEX(Puntuaciones!$C$3:$BJ$3,C21)))</f>
        <v/>
      </c>
      <c r="E21" s="146" t="e">
        <f aca="false">IF(C21="",NA(),INDEX(Puntuaciones!$C$60:$BJ$60,C21))</f>
        <v>#N/A</v>
      </c>
      <c r="F21" s="146" t="n">
        <f aca="false">Objetivo</f>
        <v>0.8</v>
      </c>
    </row>
    <row r="24" customFormat="false" ht="23.85" hidden="false" customHeight="false" outlineLevel="0" collapsed="false">
      <c r="A24" s="26" t="s">
        <v>134</v>
      </c>
      <c r="B24" s="26" t="s">
        <v>371</v>
      </c>
      <c r="C24" s="26" t="s">
        <v>521</v>
      </c>
      <c r="D24" s="26" t="s">
        <v>522</v>
      </c>
    </row>
    <row r="25" customFormat="false" ht="15" hidden="false" customHeight="false" outlineLevel="0" collapsed="false">
      <c r="A25" s="0" t="s">
        <v>73</v>
      </c>
      <c r="B25" s="146" t="n">
        <f aca="false">IF($B$7="",0,N(INDEX(Puntuaciones!$C$55:$BJ$55,$B$7)))</f>
        <v>0</v>
      </c>
      <c r="C25" s="146" t="n">
        <f aca="false">IF($B$4="",0,N(INDEX(Puntuaciones!$C$55:$BJ$55,$B$4)))</f>
        <v>0</v>
      </c>
      <c r="D25" s="146" t="n">
        <f aca="false">Objetivo</f>
        <v>0.8</v>
      </c>
    </row>
    <row r="26" customFormat="false" ht="15" hidden="false" customHeight="false" outlineLevel="0" collapsed="false">
      <c r="A26" s="0" t="s">
        <v>82</v>
      </c>
      <c r="B26" s="146" t="n">
        <f aca="false">IF($B$7="",0,N(INDEX(Puntuaciones!$C$56:$BJ$56,$B$7)))</f>
        <v>0</v>
      </c>
      <c r="C26" s="146" t="n">
        <f aca="false">IF($B$4="",0,N(INDEX(Puntuaciones!$C$56:$BJ$56,$B$4)))</f>
        <v>0</v>
      </c>
      <c r="D26" s="146" t="n">
        <f aca="false">Objetivo</f>
        <v>0.8</v>
      </c>
    </row>
    <row r="27" customFormat="false" ht="15" hidden="false" customHeight="false" outlineLevel="0" collapsed="false">
      <c r="A27" s="0" t="s">
        <v>92</v>
      </c>
      <c r="B27" s="146" t="n">
        <f aca="false">IF($B$7="",0,N(INDEX(Puntuaciones!$C$57:$BJ$57,$B$7)))</f>
        <v>0</v>
      </c>
      <c r="C27" s="146" t="n">
        <f aca="false">IF($B$4="",0,N(INDEX(Puntuaciones!$C$57:$BJ$57,$B$4)))</f>
        <v>0</v>
      </c>
      <c r="D27" s="146" t="n">
        <f aca="false">Objetivo</f>
        <v>0.8</v>
      </c>
    </row>
    <row r="28" customFormat="false" ht="15" hidden="false" customHeight="false" outlineLevel="0" collapsed="false">
      <c r="A28" s="0" t="s">
        <v>99</v>
      </c>
      <c r="B28" s="146" t="n">
        <f aca="false">IF($B$7="",0,N(INDEX(Puntuaciones!$C$58:$BJ$58,$B$7)))</f>
        <v>0</v>
      </c>
      <c r="C28" s="146" t="n">
        <f aca="false">IF($B$4="",0,N(INDEX(Puntuaciones!$C$58:$BJ$58,$B$4)))</f>
        <v>0</v>
      </c>
      <c r="D28" s="146" t="n">
        <f aca="false">Objetivo</f>
        <v>0.8</v>
      </c>
    </row>
    <row r="29" customFormat="false" ht="15" hidden="false" customHeight="false" outlineLevel="0" collapsed="false">
      <c r="A29" s="0" t="s">
        <v>103</v>
      </c>
      <c r="B29" s="146" t="n">
        <f aca="false">IF($B$7="",0,N(INDEX(Puntuaciones!$C$59:$BJ$59,$B$7)))</f>
        <v>0</v>
      </c>
      <c r="C29" s="146" t="n">
        <f aca="false">IF($B$4="",0,N(INDEX(Puntuaciones!$C$59:$BJ$59,$B$4)))</f>
        <v>0</v>
      </c>
      <c r="D29" s="146" t="n">
        <f aca="false">Objetivo</f>
        <v>0.8</v>
      </c>
    </row>
    <row r="33" customFormat="false" ht="15" hidden="false" customHeight="false" outlineLevel="0" collapsed="false">
      <c r="A33" s="26" t="s">
        <v>343</v>
      </c>
      <c r="B33" s="26" t="s">
        <v>523</v>
      </c>
      <c r="C33" s="26" t="s">
        <v>524</v>
      </c>
      <c r="D33" s="26" t="s">
        <v>525</v>
      </c>
      <c r="E33" s="26" t="s">
        <v>526</v>
      </c>
      <c r="F33" s="26" t="s">
        <v>527</v>
      </c>
    </row>
    <row r="34" customFormat="false" ht="15" hidden="false" customHeight="false" outlineLevel="0" collapsed="false">
      <c r="A34" s="0" t="str">
        <f aca="false">IF(Ajustes!$A$10="","",Ajustes!$A$10)</f>
        <v>Línea de producción 1</v>
      </c>
      <c r="B34" s="0" t="n">
        <f aca="false">IF(A34="","",COUNTIFS(Puntuaciones!$C$5:$BJ$5,A34,Puntuaciones!$C$62:$BJ$62,1))</f>
        <v>0</v>
      </c>
      <c r="C34" s="0" t="str">
        <f aca="false">IF(OR(A34="",N(B34)=0),"",MATCH(A34&amp;"|"&amp;B34,Puntuaciones!$C$63:$BJ$63,0))</f>
        <v/>
      </c>
      <c r="D34" s="146" t="str">
        <f aca="false">IF(C34="","",INDEX(Puntuaciones!$C$60:$BJ$60,C34))</f>
        <v/>
      </c>
      <c r="E34" s="0" t="str">
        <f aca="false">IF(ISNUMBER(D34),D34+ROW()*0.000000001,"")</f>
        <v/>
      </c>
      <c r="F34" s="147" t="str">
        <f aca="false">IF(C34="","",INDEX(Puntuaciones!$C$4:$BJ$4,C34))</f>
        <v/>
      </c>
    </row>
    <row r="35" customFormat="false" ht="15" hidden="false" customHeight="false" outlineLevel="0" collapsed="false">
      <c r="A35" s="0" t="str">
        <f aca="false">IF(Ajustes!$A$11="","",Ajustes!$A$11)</f>
        <v>Línea de producción 2</v>
      </c>
      <c r="B35" s="0" t="n">
        <f aca="false">IF(A35="","",COUNTIFS(Puntuaciones!$C$5:$BJ$5,A35,Puntuaciones!$C$62:$BJ$62,1))</f>
        <v>0</v>
      </c>
      <c r="C35" s="0" t="str">
        <f aca="false">IF(OR(A35="",N(B35)=0),"",MATCH(A35&amp;"|"&amp;B35,Puntuaciones!$C$63:$BJ$63,0))</f>
        <v/>
      </c>
      <c r="D35" s="146" t="str">
        <f aca="false">IF(C35="","",INDEX(Puntuaciones!$C$60:$BJ$60,C35))</f>
        <v/>
      </c>
      <c r="E35" s="0" t="str">
        <f aca="false">IF(ISNUMBER(D35),D35+ROW()*0.000000001,"")</f>
        <v/>
      </c>
      <c r="F35" s="147" t="str">
        <f aca="false">IF(C35="","",INDEX(Puntuaciones!$C$4:$BJ$4,C35))</f>
        <v/>
      </c>
    </row>
    <row r="36" customFormat="false" ht="15" hidden="false" customHeight="false" outlineLevel="0" collapsed="false">
      <c r="A36" s="0" t="str">
        <f aca="false">IF(Ajustes!$A$12="","",Ajustes!$A$12)</f>
        <v>Almacén de materiales</v>
      </c>
      <c r="B36" s="0" t="n">
        <f aca="false">IF(A36="","",COUNTIFS(Puntuaciones!$C$5:$BJ$5,A36,Puntuaciones!$C$62:$BJ$62,1))</f>
        <v>0</v>
      </c>
      <c r="C36" s="0" t="str">
        <f aca="false">IF(OR(A36="",N(B36)=0),"",MATCH(A36&amp;"|"&amp;B36,Puntuaciones!$C$63:$BJ$63,0))</f>
        <v/>
      </c>
      <c r="D36" s="146" t="str">
        <f aca="false">IF(C36="","",INDEX(Puntuaciones!$C$60:$BJ$60,C36))</f>
        <v/>
      </c>
      <c r="E36" s="0" t="str">
        <f aca="false">IF(ISNUMBER(D36),D36+ROW()*0.000000001,"")</f>
        <v/>
      </c>
      <c r="F36" s="147" t="str">
        <f aca="false">IF(C36="","",INDEX(Puntuaciones!$C$4:$BJ$4,C36))</f>
        <v/>
      </c>
    </row>
    <row r="37" customFormat="false" ht="15" hidden="false" customHeight="false" outlineLevel="0" collapsed="false">
      <c r="A37" s="0" t="str">
        <f aca="false">IF(Ajustes!$A$13="","",Ajustes!$A$13)</f>
        <v>Almacén de producto terminado</v>
      </c>
      <c r="B37" s="0" t="n">
        <f aca="false">IF(A37="","",COUNTIFS(Puntuaciones!$C$5:$BJ$5,A37,Puntuaciones!$C$62:$BJ$62,1))</f>
        <v>0</v>
      </c>
      <c r="C37" s="0" t="str">
        <f aca="false">IF(OR(A37="",N(B37)=0),"",MATCH(A37&amp;"|"&amp;B37,Puntuaciones!$C$63:$BJ$63,0))</f>
        <v/>
      </c>
      <c r="D37" s="146" t="str">
        <f aca="false">IF(C37="","",INDEX(Puntuaciones!$C$60:$BJ$60,C37))</f>
        <v/>
      </c>
      <c r="E37" s="0" t="str">
        <f aca="false">IF(ISNUMBER(D37),D37+ROW()*0.000000001,"")</f>
        <v/>
      </c>
      <c r="F37" s="147" t="str">
        <f aca="false">IF(C37="","",INDEX(Puntuaciones!$C$4:$BJ$4,C37))</f>
        <v/>
      </c>
    </row>
    <row r="38" customFormat="false" ht="15" hidden="false" customHeight="false" outlineLevel="0" collapsed="false">
      <c r="A38" s="0" t="str">
        <f aca="false">IF(Ajustes!$A$14="","",Ajustes!$A$14)</f>
        <v>Sala de herramientas</v>
      </c>
      <c r="B38" s="0" t="n">
        <f aca="false">IF(A38="","",COUNTIFS(Puntuaciones!$C$5:$BJ$5,A38,Puntuaciones!$C$62:$BJ$62,1))</f>
        <v>0</v>
      </c>
      <c r="C38" s="0" t="str">
        <f aca="false">IF(OR(A38="",N(B38)=0),"",MATCH(A38&amp;"|"&amp;B38,Puntuaciones!$C$63:$BJ$63,0))</f>
        <v/>
      </c>
      <c r="D38" s="146" t="str">
        <f aca="false">IF(C38="","",INDEX(Puntuaciones!$C$60:$BJ$60,C38))</f>
        <v/>
      </c>
      <c r="E38" s="0" t="str">
        <f aca="false">IF(ISNUMBER(D38),D38+ROW()*0.000000001,"")</f>
        <v/>
      </c>
      <c r="F38" s="147" t="str">
        <f aca="false">IF(C38="","",INDEX(Puntuaciones!$C$4:$BJ$4,C38))</f>
        <v/>
      </c>
    </row>
    <row r="39" customFormat="false" ht="15" hidden="false" customHeight="false" outlineLevel="0" collapsed="false">
      <c r="A39" s="0" t="str">
        <f aca="false">IF(Ajustes!$A$15="","",Ajustes!$A$15)</f>
        <v>Mantenimiento</v>
      </c>
      <c r="B39" s="0" t="n">
        <f aca="false">IF(A39="","",COUNTIFS(Puntuaciones!$C$5:$BJ$5,A39,Puntuaciones!$C$62:$BJ$62,1))</f>
        <v>0</v>
      </c>
      <c r="C39" s="0" t="str">
        <f aca="false">IF(OR(A39="",N(B39)=0),"",MATCH(A39&amp;"|"&amp;B39,Puntuaciones!$C$63:$BJ$63,0))</f>
        <v/>
      </c>
      <c r="D39" s="146" t="str">
        <f aca="false">IF(C39="","",INDEX(Puntuaciones!$C$60:$BJ$60,C39))</f>
        <v/>
      </c>
      <c r="E39" s="0" t="str">
        <f aca="false">IF(ISNUMBER(D39),D39+ROW()*0.000000001,"")</f>
        <v/>
      </c>
      <c r="F39" s="147" t="str">
        <f aca="false">IF(C39="","",INDEX(Puntuaciones!$C$4:$BJ$4,C39))</f>
        <v/>
      </c>
    </row>
    <row r="40" customFormat="false" ht="15" hidden="false" customHeight="false" outlineLevel="0" collapsed="false">
      <c r="A40" s="0" t="str">
        <f aca="false">IF(Ajustes!$A$16="","",Ajustes!$A$16)</f>
        <v>Control de calidad</v>
      </c>
      <c r="B40" s="0" t="n">
        <f aca="false">IF(A40="","",COUNTIFS(Puntuaciones!$C$5:$BJ$5,A40,Puntuaciones!$C$62:$BJ$62,1))</f>
        <v>0</v>
      </c>
      <c r="C40" s="0" t="str">
        <f aca="false">IF(OR(A40="",N(B40)=0),"",MATCH(A40&amp;"|"&amp;B40,Puntuaciones!$C$63:$BJ$63,0))</f>
        <v/>
      </c>
      <c r="D40" s="146" t="str">
        <f aca="false">IF(C40="","",INDEX(Puntuaciones!$C$60:$BJ$60,C40))</f>
        <v/>
      </c>
      <c r="E40" s="0" t="str">
        <f aca="false">IF(ISNUMBER(D40),D40+ROW()*0.000000001,"")</f>
        <v/>
      </c>
      <c r="F40" s="147" t="str">
        <f aca="false">IF(C40="","",INDEX(Puntuaciones!$C$4:$BJ$4,C40))</f>
        <v/>
      </c>
    </row>
    <row r="41" customFormat="false" ht="15" hidden="false" customHeight="false" outlineLevel="0" collapsed="false">
      <c r="A41" s="0" t="str">
        <f aca="false">IF(Ajustes!$A$17="","",Ajustes!$A$17)</f>
        <v>Embalaje</v>
      </c>
      <c r="B41" s="0" t="n">
        <f aca="false">IF(A41="","",COUNTIFS(Puntuaciones!$C$5:$BJ$5,A41,Puntuaciones!$C$62:$BJ$62,1))</f>
        <v>0</v>
      </c>
      <c r="C41" s="0" t="str">
        <f aca="false">IF(OR(A41="",N(B41)=0),"",MATCH(A41&amp;"|"&amp;B41,Puntuaciones!$C$63:$BJ$63,0))</f>
        <v/>
      </c>
      <c r="D41" s="146" t="str">
        <f aca="false">IF(C41="","",INDEX(Puntuaciones!$C$60:$BJ$60,C41))</f>
        <v/>
      </c>
      <c r="E41" s="0" t="str">
        <f aca="false">IF(ISNUMBER(D41),D41+ROW()*0.000000001,"")</f>
        <v/>
      </c>
      <c r="F41" s="147" t="str">
        <f aca="false">IF(C41="","",INDEX(Puntuaciones!$C$4:$BJ$4,C41))</f>
        <v/>
      </c>
    </row>
    <row r="42" customFormat="false" ht="15" hidden="false" customHeight="false" outlineLevel="0" collapsed="false">
      <c r="A42" s="0" t="str">
        <f aca="false">IF(Ajustes!$A$18="","",Ajustes!$A$18)</f>
        <v/>
      </c>
      <c r="B42" s="0" t="str">
        <f aca="false">IF(A42="","",COUNTIFS(Puntuaciones!$C$5:$BJ$5,A42,Puntuaciones!$C$62:$BJ$62,1))</f>
        <v/>
      </c>
      <c r="C42" s="0" t="str">
        <f aca="false">IF(OR(A42="",N(B42)=0),"",MATCH(A42&amp;"|"&amp;B42,Puntuaciones!$C$63:$BJ$63,0))</f>
        <v/>
      </c>
      <c r="D42" s="146" t="str">
        <f aca="false">IF(C42="","",INDEX(Puntuaciones!$C$60:$BJ$60,C42))</f>
        <v/>
      </c>
      <c r="E42" s="0" t="str">
        <f aca="false">IF(ISNUMBER(D42),D42+ROW()*0.000000001,"")</f>
        <v/>
      </c>
      <c r="F42" s="147" t="str">
        <f aca="false">IF(C42="","",INDEX(Puntuaciones!$C$4:$BJ$4,C42))</f>
        <v/>
      </c>
    </row>
    <row r="43" customFormat="false" ht="15" hidden="false" customHeight="false" outlineLevel="0" collapsed="false">
      <c r="A43" s="0" t="str">
        <f aca="false">IF(Ajustes!$A$19="","",Ajustes!$A$19)</f>
        <v/>
      </c>
      <c r="B43" s="0" t="str">
        <f aca="false">IF(A43="","",COUNTIFS(Puntuaciones!$C$5:$BJ$5,A43,Puntuaciones!$C$62:$BJ$62,1))</f>
        <v/>
      </c>
      <c r="C43" s="0" t="str">
        <f aca="false">IF(OR(A43="",N(B43)=0),"",MATCH(A43&amp;"|"&amp;B43,Puntuaciones!$C$63:$BJ$63,0))</f>
        <v/>
      </c>
      <c r="D43" s="146" t="str">
        <f aca="false">IF(C43="","",INDEX(Puntuaciones!$C$60:$BJ$60,C43))</f>
        <v/>
      </c>
      <c r="E43" s="0" t="str">
        <f aca="false">IF(ISNUMBER(D43),D43+ROW()*0.000000001,"")</f>
        <v/>
      </c>
      <c r="F43" s="147" t="str">
        <f aca="false">IF(C43="","",INDEX(Puntuaciones!$C$4:$BJ$4,C43))</f>
        <v/>
      </c>
    </row>
    <row r="44" customFormat="false" ht="15" hidden="false" customHeight="false" outlineLevel="0" collapsed="false">
      <c r="A44" s="0" t="str">
        <f aca="false">IF(Ajustes!$A$20="","",Ajustes!$A$20)</f>
        <v/>
      </c>
      <c r="B44" s="0" t="str">
        <f aca="false">IF(A44="","",COUNTIFS(Puntuaciones!$C$5:$BJ$5,A44,Puntuaciones!$C$62:$BJ$62,1))</f>
        <v/>
      </c>
      <c r="C44" s="0" t="str">
        <f aca="false">IF(OR(A44="",N(B44)=0),"",MATCH(A44&amp;"|"&amp;B44,Puntuaciones!$C$63:$BJ$63,0))</f>
        <v/>
      </c>
      <c r="D44" s="146" t="str">
        <f aca="false">IF(C44="","",INDEX(Puntuaciones!$C$60:$BJ$60,C44))</f>
        <v/>
      </c>
      <c r="E44" s="0" t="str">
        <f aca="false">IF(ISNUMBER(D44),D44+ROW()*0.000000001,"")</f>
        <v/>
      </c>
      <c r="F44" s="147" t="str">
        <f aca="false">IF(C44="","",INDEX(Puntuaciones!$C$4:$BJ$4,C44))</f>
        <v/>
      </c>
    </row>
    <row r="45" customFormat="false" ht="15" hidden="false" customHeight="false" outlineLevel="0" collapsed="false">
      <c r="A45" s="0" t="str">
        <f aca="false">IF(Ajustes!$A$21="","",Ajustes!$A$21)</f>
        <v/>
      </c>
      <c r="B45" s="0" t="str">
        <f aca="false">IF(A45="","",COUNTIFS(Puntuaciones!$C$5:$BJ$5,A45,Puntuaciones!$C$62:$BJ$62,1))</f>
        <v/>
      </c>
      <c r="C45" s="0" t="str">
        <f aca="false">IF(OR(A45="",N(B45)=0),"",MATCH(A45&amp;"|"&amp;B45,Puntuaciones!$C$63:$BJ$63,0))</f>
        <v/>
      </c>
      <c r="D45" s="146" t="str">
        <f aca="false">IF(C45="","",INDEX(Puntuaciones!$C$60:$BJ$60,C45))</f>
        <v/>
      </c>
      <c r="E45" s="0" t="str">
        <f aca="false">IF(ISNUMBER(D45),D45+ROW()*0.000000001,"")</f>
        <v/>
      </c>
      <c r="F45" s="147" t="str">
        <f aca="false">IF(C45="","",INDEX(Puntuaciones!$C$4:$BJ$4,C45))</f>
        <v/>
      </c>
    </row>
    <row r="46" customFormat="false" ht="15" hidden="false" customHeight="false" outlineLevel="0" collapsed="false">
      <c r="A46" s="0" t="str">
        <f aca="false">IF(Ajustes!$A$22="","",Ajustes!$A$22)</f>
        <v/>
      </c>
      <c r="B46" s="0" t="str">
        <f aca="false">IF(A46="","",COUNTIFS(Puntuaciones!$C$5:$BJ$5,A46,Puntuaciones!$C$62:$BJ$62,1))</f>
        <v/>
      </c>
      <c r="C46" s="0" t="str">
        <f aca="false">IF(OR(A46="",N(B46)=0),"",MATCH(A46&amp;"|"&amp;B46,Puntuaciones!$C$63:$BJ$63,0))</f>
        <v/>
      </c>
      <c r="D46" s="146" t="str">
        <f aca="false">IF(C46="","",INDEX(Puntuaciones!$C$60:$BJ$60,C46))</f>
        <v/>
      </c>
      <c r="E46" s="0" t="str">
        <f aca="false">IF(ISNUMBER(D46),D46+ROW()*0.000000001,"")</f>
        <v/>
      </c>
      <c r="F46" s="147" t="str">
        <f aca="false">IF(C46="","",INDEX(Puntuaciones!$C$4:$BJ$4,C46))</f>
        <v/>
      </c>
    </row>
    <row r="47" customFormat="false" ht="15" hidden="false" customHeight="false" outlineLevel="0" collapsed="false">
      <c r="A47" s="0" t="str">
        <f aca="false">IF(Ajustes!$A$23="","",Ajustes!$A$23)</f>
        <v/>
      </c>
      <c r="B47" s="0" t="str">
        <f aca="false">IF(A47="","",COUNTIFS(Puntuaciones!$C$5:$BJ$5,A47,Puntuaciones!$C$62:$BJ$62,1))</f>
        <v/>
      </c>
      <c r="C47" s="0" t="str">
        <f aca="false">IF(OR(A47="",N(B47)=0),"",MATCH(A47&amp;"|"&amp;B47,Puntuaciones!$C$63:$BJ$63,0))</f>
        <v/>
      </c>
      <c r="D47" s="146" t="str">
        <f aca="false">IF(C47="","",INDEX(Puntuaciones!$C$60:$BJ$60,C47))</f>
        <v/>
      </c>
      <c r="E47" s="0" t="str">
        <f aca="false">IF(ISNUMBER(D47),D47+ROW()*0.000000001,"")</f>
        <v/>
      </c>
      <c r="F47" s="147" t="str">
        <f aca="false">IF(C47="","",INDEX(Puntuaciones!$C$4:$BJ$4,C47))</f>
        <v/>
      </c>
    </row>
    <row r="48" customFormat="false" ht="15" hidden="false" customHeight="false" outlineLevel="0" collapsed="false">
      <c r="A48" s="0" t="str">
        <f aca="false">IF(Ajustes!$A$24="","",Ajustes!$A$24)</f>
        <v/>
      </c>
      <c r="B48" s="0" t="str">
        <f aca="false">IF(A48="","",COUNTIFS(Puntuaciones!$C$5:$BJ$5,A48,Puntuaciones!$C$62:$BJ$62,1))</f>
        <v/>
      </c>
      <c r="C48" s="0" t="str">
        <f aca="false">IF(OR(A48="",N(B48)=0),"",MATCH(A48&amp;"|"&amp;B48,Puntuaciones!$C$63:$BJ$63,0))</f>
        <v/>
      </c>
      <c r="D48" s="146" t="str">
        <f aca="false">IF(C48="","",INDEX(Puntuaciones!$C$60:$BJ$60,C48))</f>
        <v/>
      </c>
      <c r="E48" s="0" t="str">
        <f aca="false">IF(ISNUMBER(D48),D48+ROW()*0.000000001,"")</f>
        <v/>
      </c>
      <c r="F48" s="147" t="str">
        <f aca="false">IF(C48="","",INDEX(Puntuaciones!$C$4:$BJ$4,C48))</f>
        <v/>
      </c>
    </row>
  </sheetData>
  <conditionalFormatting sqref="E10:E21">
    <cfRule type="expression" priority="2" aboveAverage="0" equalAverage="0" bottom="0" percent="0" rank="0" text="" dxfId="21">
      <formula>ISNA(E10)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2026-10-28T18:12:26Z</dcterms:created>
  <dc:creator>openpyxl</dc:creator>
  <dc:description/>
  <dc:language>en-US</dc:language>
  <cp:lastModifiedBy/>
  <dcterms:modified xsi:type="dcterms:W3CDTF">2026-10-28T19:12:29Z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